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Ryan\Downloads\"/>
    </mc:Choice>
  </mc:AlternateContent>
  <xr:revisionPtr revIDLastSave="0" documentId="8_{032EA037-ECA6-4D81-95BE-3B06B8D104A2}" xr6:coauthVersionLast="45" xr6:coauthVersionMax="45" xr10:uidLastSave="{00000000-0000-0000-0000-000000000000}"/>
  <bookViews>
    <workbookView xWindow="-120" yWindow="-120" windowWidth="20730" windowHeight="11160" firstSheet="2" xr2:uid="{00000000-000D-0000-FFFF-FFFF00000000}"/>
  </bookViews>
  <sheets>
    <sheet name="Trading P &amp; L Ac" sheetId="2" r:id="rId1"/>
    <sheet name="Balance Sheet" sheetId="3" r:id="rId2"/>
    <sheet name="Workings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0" i="1" l="1"/>
  <c r="E17" i="3"/>
  <c r="E61" i="1"/>
  <c r="E8" i="1" s="1"/>
  <c r="H6" i="1" s="1"/>
  <c r="B62" i="1"/>
  <c r="B64" i="1" s="1"/>
  <c r="C93" i="1"/>
  <c r="F89" i="1"/>
  <c r="E10" i="1" s="1"/>
  <c r="F87" i="1"/>
  <c r="C67" i="1"/>
  <c r="C68" i="1"/>
  <c r="C69" i="1"/>
  <c r="F67" i="1" s="1"/>
  <c r="B81" i="1"/>
  <c r="E79" i="1" s="1"/>
  <c r="E82" i="1" s="1"/>
  <c r="F36" i="3" s="1"/>
  <c r="E80" i="1"/>
  <c r="B76" i="1"/>
  <c r="E81" i="1"/>
  <c r="A52" i="1"/>
  <c r="A53" i="1"/>
  <c r="B55" i="1"/>
  <c r="C70" i="1" s="1"/>
  <c r="D45" i="1"/>
  <c r="F40" i="1"/>
  <c r="D46" i="1" s="1"/>
  <c r="F39" i="1"/>
  <c r="F38" i="1"/>
  <c r="F37" i="1"/>
  <c r="F36" i="1"/>
  <c r="I24" i="1"/>
  <c r="A15" i="1"/>
  <c r="E15" i="1" s="1"/>
  <c r="E16" i="1" s="1"/>
  <c r="B9" i="1"/>
  <c r="B88" i="1"/>
  <c r="B10" i="1"/>
  <c r="E4" i="1" s="1"/>
  <c r="B4" i="1"/>
  <c r="B5" i="1" s="1"/>
  <c r="B105" i="1"/>
  <c r="D15" i="3" s="1"/>
  <c r="E16" i="3" s="1"/>
  <c r="E6" i="1"/>
  <c r="A44" i="1"/>
  <c r="D44" i="1" s="1"/>
  <c r="D47" i="1" s="1"/>
  <c r="I25" i="1" s="1"/>
  <c r="H53" i="1"/>
  <c r="G6" i="1"/>
  <c r="E38" i="1"/>
  <c r="E39" i="1" s="1"/>
  <c r="D37" i="1"/>
  <c r="D38" i="1" s="1"/>
  <c r="C39" i="1"/>
  <c r="D4" i="1"/>
  <c r="G4" i="1"/>
  <c r="C94" i="1"/>
  <c r="C95" i="1" s="1"/>
  <c r="E18" i="3" s="1"/>
  <c r="B30" i="1"/>
  <c r="F41" i="1"/>
  <c r="G24" i="1" s="1"/>
  <c r="E40" i="1"/>
  <c r="B26" i="1"/>
  <c r="D25" i="1"/>
  <c r="B27" i="1"/>
  <c r="D5" i="3"/>
  <c r="F4" i="3"/>
  <c r="D26" i="1"/>
  <c r="B33" i="1"/>
  <c r="I26" i="1" l="1"/>
  <c r="G25" i="1" s="1"/>
  <c r="I27" i="1" s="1"/>
  <c r="E5" i="3" s="1"/>
  <c r="E6" i="3" s="1"/>
  <c r="E5" i="1"/>
  <c r="E7" i="1" s="1"/>
  <c r="E9" i="1" s="1"/>
  <c r="E11" i="1" s="1"/>
  <c r="H4" i="1"/>
  <c r="H5" i="1" s="1"/>
  <c r="H7" i="1" s="1"/>
  <c r="D21" i="3" s="1"/>
  <c r="E24" i="3" s="1"/>
  <c r="F5" i="3"/>
  <c r="F68" i="1"/>
  <c r="B86" i="1" s="1"/>
  <c r="B87" i="1" s="1"/>
  <c r="B89" i="1" s="1"/>
  <c r="E35" i="3" s="1"/>
  <c r="F69" i="1"/>
  <c r="G26" i="1"/>
  <c r="D30" i="1"/>
  <c r="D33" i="1" s="1"/>
  <c r="D40" i="1"/>
  <c r="D39" i="1"/>
  <c r="E14" i="3"/>
  <c r="E19" i="3" s="1"/>
  <c r="F25" i="3" s="1"/>
  <c r="A19" i="1"/>
  <c r="A20" i="1" s="1"/>
  <c r="D6" i="3"/>
  <c r="F6" i="3" s="1"/>
  <c r="B57" i="1"/>
  <c r="E53" i="1" s="1"/>
  <c r="E54" i="1" s="1"/>
  <c r="C71" i="1"/>
  <c r="D22" i="3" s="1"/>
  <c r="E17" i="1" l="1"/>
  <c r="E18" i="1" s="1"/>
  <c r="F8" i="3" s="1"/>
  <c r="F12" i="3"/>
  <c r="F26" i="3" s="1"/>
  <c r="E33" i="3" l="1"/>
  <c r="E34" i="3" s="1"/>
  <c r="F35" i="3" s="1"/>
  <c r="F37" i="3" s="1"/>
</calcChain>
</file>

<file path=xl/sharedStrings.xml><?xml version="1.0" encoding="utf-8"?>
<sst xmlns="http://schemas.openxmlformats.org/spreadsheetml/2006/main" count="229" uniqueCount="162">
  <si>
    <t>Sales</t>
  </si>
  <si>
    <t>LESS COST OF SALES</t>
  </si>
  <si>
    <t>Op. Stock</t>
  </si>
  <si>
    <t>GROSS PROFIT</t>
  </si>
  <si>
    <t>LESS EXPENSES</t>
  </si>
  <si>
    <t>Admin</t>
  </si>
  <si>
    <t xml:space="preserve">Salaries and Expenses </t>
  </si>
  <si>
    <t>Rent</t>
  </si>
  <si>
    <t>Selling &amp; distrubution</t>
  </si>
  <si>
    <t>Comission</t>
  </si>
  <si>
    <t>ADD OPERATING INCOME</t>
  </si>
  <si>
    <t>Profit from Sale of Van</t>
  </si>
  <si>
    <t>OPERATING PROFIT</t>
  </si>
  <si>
    <t>Less Mortgage Interest (W6)</t>
  </si>
  <si>
    <t>NET PROFIT</t>
  </si>
  <si>
    <t>Balance Sheet of Alan Ahern as at 31.12.2009</t>
  </si>
  <si>
    <t>COST</t>
  </si>
  <si>
    <t>ACC DEP</t>
  </si>
  <si>
    <t>NBV</t>
  </si>
  <si>
    <t>Tangible Fixed Assets</t>
  </si>
  <si>
    <t>Buildings (W11)</t>
  </si>
  <si>
    <t>Delivery Vans (W2)</t>
  </si>
  <si>
    <t>Intangible Fixed Assets</t>
  </si>
  <si>
    <t>Patents (W2)</t>
  </si>
  <si>
    <t>Financial Fixed Assets</t>
  </si>
  <si>
    <t>6% Investments</t>
  </si>
  <si>
    <t>Current Assest</t>
  </si>
  <si>
    <t>Clo Stock (W1)</t>
  </si>
  <si>
    <t>Debtors</t>
  </si>
  <si>
    <t>Less Provision </t>
  </si>
  <si>
    <t>Bank (W11)</t>
  </si>
  <si>
    <t>Investment Income Due (W8)</t>
  </si>
  <si>
    <t>Creditors - Amounts falling within one year</t>
  </si>
  <si>
    <t>Creditors (W1)</t>
  </si>
  <si>
    <t>Mortgage Interest Due (W6)</t>
  </si>
  <si>
    <t>VAT </t>
  </si>
  <si>
    <t>PAYE &amp; PRSI</t>
  </si>
  <si>
    <t>Net Current Assest</t>
  </si>
  <si>
    <t>Total Net Assets</t>
  </si>
  <si>
    <t>Financed by</t>
  </si>
  <si>
    <t>Creditors - Amount falling due after one year</t>
  </si>
  <si>
    <t>5% Mortgage</t>
  </si>
  <si>
    <t>Capital</t>
  </si>
  <si>
    <t>Capital 01.01..16</t>
  </si>
  <si>
    <t>Add Net Profit</t>
  </si>
  <si>
    <t>Less Draweings (W8)</t>
  </si>
  <si>
    <t>Revalue Reserve (W8)</t>
  </si>
  <si>
    <t>Capital Employed</t>
  </si>
  <si>
    <t>Working 1 - Good in Tranist</t>
  </si>
  <si>
    <t>Cl. stock</t>
  </si>
  <si>
    <t>Purchases</t>
  </si>
  <si>
    <t>Creditors</t>
  </si>
  <si>
    <t>Cl. Stock</t>
  </si>
  <si>
    <t>GIT</t>
  </si>
  <si>
    <t>T / CA</t>
  </si>
  <si>
    <t>Cheque</t>
  </si>
  <si>
    <t>CL BS</t>
  </si>
  <si>
    <t>4500/125</t>
  </si>
  <si>
    <t>Restocking</t>
  </si>
  <si>
    <t>Drawings</t>
  </si>
  <si>
    <t>T</t>
  </si>
  <si>
    <t>Working 2 -Patents</t>
  </si>
  <si>
    <t>Investment Income</t>
  </si>
  <si>
    <t>Patents</t>
  </si>
  <si>
    <t>150000*4%*3/12</t>
  </si>
  <si>
    <t>Inv Income</t>
  </si>
  <si>
    <t>W/O</t>
  </si>
  <si>
    <t>Patents W/O</t>
  </si>
  <si>
    <t>FA BS</t>
  </si>
  <si>
    <t>/ 5</t>
  </si>
  <si>
    <t>Admin Exp</t>
  </si>
  <si>
    <t>Working 3 - Dep Vans</t>
  </si>
  <si>
    <t>Vans</t>
  </si>
  <si>
    <t>Acc Dep</t>
  </si>
  <si>
    <t>Bal</t>
  </si>
  <si>
    <t>Disposal</t>
  </si>
  <si>
    <t>Bank</t>
  </si>
  <si>
    <t>Dep</t>
  </si>
  <si>
    <t>S &amp; D Exp</t>
  </si>
  <si>
    <t>ACC DEP FA BS</t>
  </si>
  <si>
    <t>Acc dep</t>
  </si>
  <si>
    <t>Profit</t>
  </si>
  <si>
    <t>Allow</t>
  </si>
  <si>
    <t>Dep Dispoal</t>
  </si>
  <si>
    <t>30.10.12 - 31.12.12</t>
  </si>
  <si>
    <t>2/12</t>
  </si>
  <si>
    <t>* 33000</t>
  </si>
  <si>
    <t>* 20%</t>
  </si>
  <si>
    <t>01.01.13 - 31.12.13</t>
  </si>
  <si>
    <t>01.01.14 - 31.12.14</t>
  </si>
  <si>
    <t>01.01.15 - 31.12.15</t>
  </si>
  <si>
    <t>01.01.16 - 31.07.16</t>
  </si>
  <si>
    <t>7/12</t>
  </si>
  <si>
    <t>This Year</t>
  </si>
  <si>
    <t>* 20 %</t>
  </si>
  <si>
    <t>42000 * .2% * 5/12</t>
  </si>
  <si>
    <t>Working 4 - Suspense</t>
  </si>
  <si>
    <t>Mortgage Interest</t>
  </si>
  <si>
    <t>Insurance</t>
  </si>
  <si>
    <t>Discount</t>
  </si>
  <si>
    <t>180000* 6%</t>
  </si>
  <si>
    <t>* 4/12</t>
  </si>
  <si>
    <t>Error</t>
  </si>
  <si>
    <t>Interest</t>
  </si>
  <si>
    <t>Should</t>
  </si>
  <si>
    <t>Paid</t>
  </si>
  <si>
    <t>Working 5 - Restocking Charge</t>
  </si>
  <si>
    <t>125% =</t>
  </si>
  <si>
    <t>4800 * 15%</t>
  </si>
  <si>
    <t>1% =</t>
  </si>
  <si>
    <t>6000/125</t>
  </si>
  <si>
    <t xml:space="preserve">100% = </t>
  </si>
  <si>
    <t>48*100</t>
  </si>
  <si>
    <t xml:space="preserve">Up date </t>
  </si>
  <si>
    <t>Working 6 - Mortgage Interest Due</t>
  </si>
  <si>
    <t>* 6%</t>
  </si>
  <si>
    <t>Yearly</t>
  </si>
  <si>
    <t>* 30%</t>
  </si>
  <si>
    <t>80000*6%*8/12</t>
  </si>
  <si>
    <t>Less OI</t>
  </si>
  <si>
    <t>Working 7 - Dep Buildings</t>
  </si>
  <si>
    <t>* 2%</t>
  </si>
  <si>
    <t>Working 8 - Revalutation</t>
  </si>
  <si>
    <t>Revaluation</t>
  </si>
  <si>
    <t>Revalue</t>
  </si>
  <si>
    <t>Cost</t>
  </si>
  <si>
    <t>This yr</t>
  </si>
  <si>
    <t>BS Capital</t>
  </si>
  <si>
    <t>Working 9 - Drawings</t>
  </si>
  <si>
    <t>Mort Int</t>
  </si>
  <si>
    <t>2000/125</t>
  </si>
  <si>
    <t>16 * 100</t>
  </si>
  <si>
    <t>Capital BS</t>
  </si>
  <si>
    <t>Working 10 - Investment Income DUe</t>
  </si>
  <si>
    <t>150000*4%*4/12</t>
  </si>
  <si>
    <t>CA BS</t>
  </si>
  <si>
    <t>Working 11 - Bank</t>
  </si>
  <si>
    <t>Working 12 - Debtors</t>
  </si>
  <si>
    <t>Debt</t>
  </si>
  <si>
    <t>Working 13 - Bad Debt Recovered</t>
  </si>
  <si>
    <t>Bad Debt Recovered</t>
  </si>
  <si>
    <t>Add OI</t>
  </si>
  <si>
    <t>Less Cl. Stock</t>
  </si>
  <si>
    <t xml:space="preserve">Dep Buildings </t>
  </si>
  <si>
    <t xml:space="preserve">Patents W/O </t>
  </si>
  <si>
    <t xml:space="preserve">Dep Vans </t>
  </si>
  <si>
    <t>Discount Allowed</t>
  </si>
  <si>
    <t xml:space="preserve">Bad Debt Recovered </t>
  </si>
  <si>
    <t>Bad debts</t>
  </si>
  <si>
    <t xml:space="preserve">Investment Income </t>
  </si>
  <si>
    <t>Commission Received</t>
  </si>
  <si>
    <t>Rental Income</t>
  </si>
  <si>
    <t>Trading account</t>
  </si>
  <si>
    <t>Profir and Loss Accouint</t>
  </si>
  <si>
    <t>x</t>
  </si>
  <si>
    <t>(+) x</t>
  </si>
  <si>
    <t>(-) x</t>
  </si>
  <si>
    <t>Operating Income</t>
  </si>
  <si>
    <t>Operating Profit</t>
  </si>
  <si>
    <t>Additional Expenses</t>
  </si>
  <si>
    <t>Extra Items</t>
  </si>
  <si>
    <t>Trading Profit and Loss Account of _________ for year ended 31.12.16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</si>
</sst>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omic Sans MS"/>
      <family val="4"/>
    </font>
    <font>
      <sz val="11"/>
      <color theme="1"/>
      <name val="Comic Sans MS"/>
      <family val="4"/>
    </font>
    <font>
      <b/>
      <u/>
      <sz val="11"/>
      <color rgb="FFFF0000"/>
      <name val="Comic Sans MS"/>
      <family val="4"/>
    </font>
    <font>
      <u/>
      <sz val="11"/>
      <color theme="1"/>
      <name val="Comic Sans MS"/>
      <family val="4"/>
    </font>
    <font>
      <sz val="11"/>
      <color rgb="FF000000"/>
      <name val="Comic Sans MS"/>
      <family val="4"/>
    </font>
    <font>
      <b/>
      <sz val="11"/>
      <color theme="1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0" fillId="0" borderId="5" xfId="0" applyBorder="1"/>
    <xf numFmtId="3" fontId="0" fillId="0" borderId="5" xfId="0" applyNumberFormat="1" applyBorder="1"/>
    <xf numFmtId="0" fontId="0" fillId="0" borderId="0" xfId="0" applyFont="1"/>
    <xf numFmtId="0" fontId="5" fillId="0" borderId="0" xfId="0" applyFont="1"/>
    <xf numFmtId="0" fontId="0" fillId="0" borderId="6" xfId="0" applyBorder="1"/>
    <xf numFmtId="0" fontId="1" fillId="0" borderId="3" xfId="0" applyFont="1" applyBorder="1" applyAlignment="1">
      <alignment horizontal="center"/>
    </xf>
    <xf numFmtId="0" fontId="0" fillId="0" borderId="11" xfId="0" applyBorder="1"/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7" xfId="0" applyBorder="1"/>
    <xf numFmtId="3" fontId="0" fillId="0" borderId="12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0" fontId="0" fillId="0" borderId="0" xfId="0" applyAlignment="1">
      <alignment horizontal="right"/>
    </xf>
    <xf numFmtId="0" fontId="0" fillId="0" borderId="14" xfId="0" applyBorder="1"/>
    <xf numFmtId="0" fontId="1" fillId="3" borderId="0" xfId="0" applyFont="1" applyFill="1"/>
    <xf numFmtId="0" fontId="0" fillId="0" borderId="0" xfId="0" applyBorder="1"/>
    <xf numFmtId="0" fontId="1" fillId="2" borderId="14" xfId="0" applyFont="1" applyFill="1" applyBorder="1"/>
    <xf numFmtId="0" fontId="1" fillId="3" borderId="15" xfId="0" applyFont="1" applyFill="1" applyBorder="1"/>
    <xf numFmtId="0" fontId="0" fillId="3" borderId="15" xfId="0" applyFont="1" applyFill="1" applyBorder="1"/>
    <xf numFmtId="0" fontId="1" fillId="3" borderId="0" xfId="0" applyFont="1" applyFill="1" applyBorder="1"/>
    <xf numFmtId="9" fontId="0" fillId="0" borderId="0" xfId="0" applyNumberFormat="1" applyAlignment="1">
      <alignment horizontal="right"/>
    </xf>
    <xf numFmtId="0" fontId="0" fillId="0" borderId="20" xfId="0" applyBorder="1"/>
    <xf numFmtId="0" fontId="0" fillId="0" borderId="15" xfId="0" applyBorder="1"/>
    <xf numFmtId="9" fontId="0" fillId="0" borderId="0" xfId="0" applyNumberFormat="1" applyFont="1"/>
    <xf numFmtId="0" fontId="0" fillId="3" borderId="0" xfId="0" applyFont="1" applyFill="1" applyBorder="1"/>
    <xf numFmtId="0" fontId="0" fillId="0" borderId="0" xfId="0" applyFont="1" applyBorder="1"/>
    <xf numFmtId="9" fontId="0" fillId="0" borderId="0" xfId="0" applyNumberFormat="1" applyFont="1" applyBorder="1"/>
    <xf numFmtId="9" fontId="0" fillId="0" borderId="0" xfId="0" applyNumberFormat="1"/>
    <xf numFmtId="0" fontId="6" fillId="2" borderId="0" xfId="0" applyFont="1" applyFill="1"/>
    <xf numFmtId="0" fontId="1" fillId="0" borderId="14" xfId="0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5" xfId="0" applyFont="1" applyBorder="1"/>
    <xf numFmtId="0" fontId="9" fillId="0" borderId="0" xfId="0" applyFont="1"/>
    <xf numFmtId="0" fontId="7" fillId="0" borderId="0" xfId="0" applyFont="1"/>
    <xf numFmtId="0" fontId="10" fillId="0" borderId="0" xfId="0" applyFont="1"/>
    <xf numFmtId="0" fontId="8" fillId="0" borderId="3" xfId="0" applyFont="1" applyBorder="1"/>
    <xf numFmtId="0" fontId="8" fillId="0" borderId="8" xfId="0" applyFont="1" applyBorder="1"/>
    <xf numFmtId="0" fontId="11" fillId="0" borderId="0" xfId="0" applyFont="1"/>
    <xf numFmtId="0" fontId="8" fillId="0" borderId="0" xfId="0" applyFont="1" applyAlignment="1">
      <alignment horizontal="center"/>
    </xf>
    <xf numFmtId="0" fontId="12" fillId="4" borderId="22" xfId="0" applyFont="1" applyFill="1" applyBorder="1" applyAlignment="1">
      <alignment horizontal="center" vertical="center" textRotation="90"/>
    </xf>
    <xf numFmtId="0" fontId="12" fillId="4" borderId="23" xfId="0" applyFont="1" applyFill="1" applyBorder="1" applyAlignment="1">
      <alignment horizontal="center" vertical="center" textRotation="90"/>
    </xf>
    <xf numFmtId="0" fontId="12" fillId="4" borderId="24" xfId="0" applyFont="1" applyFill="1" applyBorder="1" applyAlignment="1">
      <alignment horizontal="center" vertical="center" textRotation="90"/>
    </xf>
    <xf numFmtId="0" fontId="8" fillId="0" borderId="4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2" fillId="6" borderId="22" xfId="0" applyFont="1" applyFill="1" applyBorder="1" applyAlignment="1">
      <alignment horizontal="center" vertical="center" textRotation="90" wrapText="1"/>
    </xf>
    <xf numFmtId="0" fontId="12" fillId="6" borderId="23" xfId="0" applyFont="1" applyFill="1" applyBorder="1" applyAlignment="1">
      <alignment horizontal="center" vertical="center" textRotation="90" wrapText="1"/>
    </xf>
    <xf numFmtId="0" fontId="12" fillId="6" borderId="24" xfId="0" applyFont="1" applyFill="1" applyBorder="1" applyAlignment="1">
      <alignment horizontal="center" vertical="center" textRotation="90" wrapText="1"/>
    </xf>
    <xf numFmtId="0" fontId="12" fillId="5" borderId="22" xfId="0" applyFont="1" applyFill="1" applyBorder="1" applyAlignment="1">
      <alignment horizontal="center" vertical="center" textRotation="90"/>
    </xf>
    <xf numFmtId="0" fontId="12" fillId="5" borderId="23" xfId="0" applyFont="1" applyFill="1" applyBorder="1" applyAlignment="1">
      <alignment horizontal="center" vertical="center" textRotation="90"/>
    </xf>
    <xf numFmtId="0" fontId="12" fillId="5" borderId="24" xfId="0" applyFont="1" applyFill="1" applyBorder="1" applyAlignment="1">
      <alignment horizontal="center" vertical="center" textRotation="90"/>
    </xf>
    <xf numFmtId="0" fontId="12" fillId="7" borderId="22" xfId="0" applyFont="1" applyFill="1" applyBorder="1" applyAlignment="1">
      <alignment horizontal="center" vertical="center" textRotation="90" wrapText="1"/>
    </xf>
    <xf numFmtId="0" fontId="12" fillId="7" borderId="23" xfId="0" applyFont="1" applyFill="1" applyBorder="1" applyAlignment="1">
      <alignment horizontal="center" vertical="center" textRotation="90" wrapText="1"/>
    </xf>
    <xf numFmtId="0" fontId="12" fillId="7" borderId="24" xfId="0" applyFont="1" applyFill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6" xfId="0" applyFont="1" applyBorder="1"/>
    <xf numFmtId="0" fontId="8" fillId="0" borderId="26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4BCFB-8986-4DBD-8C70-17468ED12401}">
  <dimension ref="A1:H33"/>
  <sheetViews>
    <sheetView tabSelected="1" workbookViewId="0">
      <selection activeCell="L10" sqref="L10"/>
    </sheetView>
  </sheetViews>
  <sheetFormatPr defaultRowHeight="16.5" x14ac:dyDescent="0.3"/>
  <cols>
    <col min="1" max="2" width="9.140625" style="46"/>
    <col min="3" max="3" width="16" style="46" customWidth="1"/>
    <col min="4" max="5" width="9.28515625" style="46" bestFit="1" customWidth="1"/>
    <col min="6" max="6" width="9.5703125" style="46" bestFit="1" customWidth="1"/>
    <col min="7" max="16384" width="9.140625" style="46"/>
  </cols>
  <sheetData>
    <row r="1" spans="1:8" ht="18" x14ac:dyDescent="0.35">
      <c r="A1" s="45" t="s">
        <v>161</v>
      </c>
      <c r="B1" s="45"/>
      <c r="C1" s="45"/>
      <c r="D1" s="45"/>
      <c r="E1" s="45"/>
      <c r="F1" s="45"/>
      <c r="G1" s="45"/>
      <c r="H1" s="45"/>
    </row>
    <row r="2" spans="1:8" ht="17.25" thickBot="1" x14ac:dyDescent="0.35"/>
    <row r="3" spans="1:8" x14ac:dyDescent="0.3">
      <c r="A3" s="55" t="s">
        <v>152</v>
      </c>
      <c r="B3" s="46" t="s">
        <v>0</v>
      </c>
      <c r="D3" s="47"/>
      <c r="F3" s="59" t="s">
        <v>154</v>
      </c>
      <c r="G3" s="92" t="s">
        <v>160</v>
      </c>
      <c r="H3" s="93"/>
    </row>
    <row r="4" spans="1:8" ht="18" x14ac:dyDescent="0.35">
      <c r="A4" s="56"/>
      <c r="B4" s="48" t="s">
        <v>1</v>
      </c>
      <c r="D4" s="47"/>
      <c r="F4" s="47"/>
      <c r="G4" s="81"/>
      <c r="H4" s="83"/>
    </row>
    <row r="5" spans="1:8" x14ac:dyDescent="0.3">
      <c r="A5" s="56"/>
      <c r="B5" s="46" t="s">
        <v>2</v>
      </c>
      <c r="D5" s="47"/>
      <c r="E5" s="54" t="s">
        <v>154</v>
      </c>
      <c r="F5" s="47"/>
      <c r="G5" s="81"/>
      <c r="H5" s="83"/>
    </row>
    <row r="6" spans="1:8" x14ac:dyDescent="0.3">
      <c r="A6" s="56"/>
      <c r="B6" s="46" t="s">
        <v>50</v>
      </c>
      <c r="D6" s="47"/>
      <c r="E6" s="54" t="s">
        <v>155</v>
      </c>
      <c r="F6" s="47"/>
      <c r="G6" s="81"/>
      <c r="H6" s="83"/>
    </row>
    <row r="7" spans="1:8" x14ac:dyDescent="0.3">
      <c r="A7" s="56"/>
      <c r="D7" s="47"/>
      <c r="E7" s="58" t="s">
        <v>154</v>
      </c>
      <c r="F7" s="47"/>
      <c r="G7" s="81"/>
      <c r="H7" s="83"/>
    </row>
    <row r="8" spans="1:8" x14ac:dyDescent="0.3">
      <c r="A8" s="56"/>
      <c r="B8" s="46" t="s">
        <v>142</v>
      </c>
      <c r="D8" s="47"/>
      <c r="E8" s="61" t="s">
        <v>156</v>
      </c>
      <c r="F8" s="60" t="s">
        <v>156</v>
      </c>
      <c r="G8" s="81"/>
      <c r="H8" s="83"/>
    </row>
    <row r="9" spans="1:8" ht="18.75" thickBot="1" x14ac:dyDescent="0.4">
      <c r="A9" s="57"/>
      <c r="B9" s="49" t="s">
        <v>3</v>
      </c>
      <c r="D9" s="47"/>
      <c r="F9" s="62" t="s">
        <v>154</v>
      </c>
      <c r="G9" s="84"/>
      <c r="H9" s="85"/>
    </row>
    <row r="10" spans="1:8" ht="18" customHeight="1" x14ac:dyDescent="0.35">
      <c r="A10" s="69" t="s">
        <v>153</v>
      </c>
      <c r="B10" s="48" t="s">
        <v>4</v>
      </c>
      <c r="D10" s="47"/>
      <c r="F10" s="51"/>
      <c r="G10" s="86" t="s">
        <v>159</v>
      </c>
      <c r="H10" s="87"/>
    </row>
    <row r="11" spans="1:8" x14ac:dyDescent="0.3">
      <c r="A11" s="70"/>
      <c r="B11" s="50" t="s">
        <v>5</v>
      </c>
      <c r="D11" s="47"/>
      <c r="F11" s="51"/>
      <c r="G11" s="88"/>
      <c r="H11" s="89"/>
    </row>
    <row r="12" spans="1:8" x14ac:dyDescent="0.3">
      <c r="A12" s="70"/>
      <c r="B12" s="46" t="s">
        <v>143</v>
      </c>
      <c r="D12" s="60" t="s">
        <v>154</v>
      </c>
      <c r="E12" s="54"/>
      <c r="F12" s="51"/>
      <c r="G12" s="81"/>
      <c r="H12" s="83"/>
    </row>
    <row r="13" spans="1:8" x14ac:dyDescent="0.3">
      <c r="A13" s="70"/>
      <c r="B13" s="46" t="s">
        <v>144</v>
      </c>
      <c r="D13" s="60" t="s">
        <v>155</v>
      </c>
      <c r="E13" s="54"/>
      <c r="F13" s="51"/>
      <c r="G13" s="81"/>
      <c r="H13" s="83"/>
    </row>
    <row r="14" spans="1:8" x14ac:dyDescent="0.3">
      <c r="A14" s="70"/>
      <c r="B14" s="46" t="s">
        <v>6</v>
      </c>
      <c r="D14" s="60" t="s">
        <v>155</v>
      </c>
      <c r="E14" s="54"/>
      <c r="F14" s="51"/>
      <c r="G14" s="81"/>
      <c r="H14" s="83"/>
    </row>
    <row r="15" spans="1:8" x14ac:dyDescent="0.3">
      <c r="A15" s="70"/>
      <c r="B15" s="46" t="s">
        <v>7</v>
      </c>
      <c r="D15" s="60" t="s">
        <v>155</v>
      </c>
      <c r="E15" s="54"/>
      <c r="F15" s="51"/>
      <c r="G15" s="81"/>
      <c r="H15" s="83"/>
    </row>
    <row r="16" spans="1:8" x14ac:dyDescent="0.3">
      <c r="A16" s="70"/>
      <c r="B16" s="46" t="s">
        <v>98</v>
      </c>
      <c r="D16" s="63" t="s">
        <v>155</v>
      </c>
      <c r="E16" s="54" t="s">
        <v>154</v>
      </c>
      <c r="F16" s="64"/>
      <c r="G16" s="81"/>
      <c r="H16" s="83"/>
    </row>
    <row r="17" spans="1:8" x14ac:dyDescent="0.3">
      <c r="A17" s="70"/>
      <c r="B17" s="50" t="s">
        <v>8</v>
      </c>
      <c r="D17" s="47"/>
      <c r="E17" s="54"/>
      <c r="F17" s="64"/>
      <c r="G17" s="81"/>
      <c r="H17" s="83"/>
    </row>
    <row r="18" spans="1:8" x14ac:dyDescent="0.3">
      <c r="A18" s="70"/>
      <c r="B18" s="46" t="s">
        <v>145</v>
      </c>
      <c r="D18" s="60" t="s">
        <v>154</v>
      </c>
      <c r="E18" s="64"/>
      <c r="F18" s="64"/>
      <c r="G18" s="81"/>
      <c r="H18" s="83"/>
    </row>
    <row r="19" spans="1:8" x14ac:dyDescent="0.3">
      <c r="A19" s="70"/>
      <c r="B19" s="46" t="s">
        <v>148</v>
      </c>
      <c r="D19" s="60" t="s">
        <v>155</v>
      </c>
      <c r="E19" s="64"/>
      <c r="F19" s="64"/>
      <c r="G19" s="81"/>
      <c r="H19" s="83"/>
    </row>
    <row r="20" spans="1:8" x14ac:dyDescent="0.3">
      <c r="A20" s="70"/>
      <c r="B20" s="46" t="s">
        <v>9</v>
      </c>
      <c r="D20" s="60" t="s">
        <v>155</v>
      </c>
      <c r="E20" s="64"/>
      <c r="F20" s="64"/>
      <c r="G20" s="81"/>
      <c r="H20" s="83"/>
    </row>
    <row r="21" spans="1:8" x14ac:dyDescent="0.3">
      <c r="A21" s="70"/>
      <c r="B21" s="46" t="s">
        <v>146</v>
      </c>
      <c r="D21" s="63" t="s">
        <v>155</v>
      </c>
      <c r="E21" s="65" t="s">
        <v>155</v>
      </c>
      <c r="F21" s="82" t="s">
        <v>156</v>
      </c>
      <c r="G21" s="84"/>
      <c r="H21" s="85"/>
    </row>
    <row r="22" spans="1:8" ht="17.25" thickBot="1" x14ac:dyDescent="0.35">
      <c r="A22" s="71"/>
      <c r="D22" s="51"/>
      <c r="E22" s="51"/>
      <c r="F22" s="59" t="s">
        <v>154</v>
      </c>
      <c r="G22" s="90" t="s">
        <v>160</v>
      </c>
      <c r="H22" s="91"/>
    </row>
    <row r="23" spans="1:8" ht="18" x14ac:dyDescent="0.35">
      <c r="A23" s="66" t="s">
        <v>157</v>
      </c>
      <c r="B23" s="49" t="s">
        <v>10</v>
      </c>
      <c r="D23" s="51"/>
      <c r="E23" s="47"/>
      <c r="F23" s="52"/>
      <c r="G23" s="81"/>
      <c r="H23" s="83"/>
    </row>
    <row r="24" spans="1:8" x14ac:dyDescent="0.3">
      <c r="A24" s="67"/>
      <c r="B24" s="53" t="s">
        <v>11</v>
      </c>
      <c r="D24" s="51"/>
      <c r="E24" s="75" t="s">
        <v>154</v>
      </c>
      <c r="F24" s="52"/>
      <c r="G24" s="81"/>
      <c r="H24" s="83"/>
    </row>
    <row r="25" spans="1:8" x14ac:dyDescent="0.3">
      <c r="A25" s="67"/>
      <c r="B25" s="53" t="s">
        <v>151</v>
      </c>
      <c r="D25" s="51"/>
      <c r="E25" s="60" t="s">
        <v>155</v>
      </c>
      <c r="F25" s="52"/>
      <c r="G25" s="81"/>
      <c r="H25" s="83"/>
    </row>
    <row r="26" spans="1:8" x14ac:dyDescent="0.3">
      <c r="A26" s="67"/>
      <c r="B26" s="53" t="s">
        <v>150</v>
      </c>
      <c r="D26" s="51"/>
      <c r="E26" s="60" t="s">
        <v>155</v>
      </c>
      <c r="F26" s="52"/>
      <c r="G26" s="81"/>
      <c r="H26" s="83"/>
    </row>
    <row r="27" spans="1:8" ht="17.25" thickBot="1" x14ac:dyDescent="0.35">
      <c r="A27" s="68"/>
      <c r="B27" s="46" t="s">
        <v>147</v>
      </c>
      <c r="D27" s="47"/>
      <c r="E27" s="76" t="s">
        <v>155</v>
      </c>
      <c r="F27" s="77" t="s">
        <v>155</v>
      </c>
      <c r="G27" s="84"/>
      <c r="H27" s="85"/>
    </row>
    <row r="28" spans="1:8" ht="18" x14ac:dyDescent="0.35">
      <c r="A28" s="72" t="s">
        <v>158</v>
      </c>
      <c r="B28" s="49" t="s">
        <v>12</v>
      </c>
      <c r="D28" s="47"/>
      <c r="E28" s="52"/>
      <c r="F28" s="78" t="s">
        <v>154</v>
      </c>
      <c r="G28" s="90" t="s">
        <v>160</v>
      </c>
      <c r="H28" s="91"/>
    </row>
    <row r="29" spans="1:8" x14ac:dyDescent="0.3">
      <c r="A29" s="73"/>
      <c r="B29" s="46" t="s">
        <v>149</v>
      </c>
      <c r="D29" s="47"/>
      <c r="E29" s="52"/>
      <c r="F29" s="76" t="s">
        <v>155</v>
      </c>
      <c r="G29" s="51"/>
      <c r="H29" s="52"/>
    </row>
    <row r="30" spans="1:8" x14ac:dyDescent="0.3">
      <c r="A30" s="73"/>
      <c r="D30" s="47"/>
      <c r="E30" s="52"/>
      <c r="F30" s="79" t="s">
        <v>154</v>
      </c>
      <c r="G30" s="51"/>
      <c r="H30" s="52"/>
    </row>
    <row r="31" spans="1:8" x14ac:dyDescent="0.3">
      <c r="A31" s="73"/>
      <c r="B31" s="46" t="s">
        <v>13</v>
      </c>
      <c r="D31" s="47"/>
      <c r="E31" s="52"/>
      <c r="F31" s="76" t="s">
        <v>156</v>
      </c>
      <c r="G31" s="51"/>
      <c r="H31" s="52"/>
    </row>
    <row r="32" spans="1:8" ht="18.75" thickBot="1" x14ac:dyDescent="0.4">
      <c r="A32" s="74"/>
      <c r="B32" s="49" t="s">
        <v>14</v>
      </c>
      <c r="D32" s="47"/>
      <c r="E32" s="52"/>
      <c r="F32" s="80" t="s">
        <v>154</v>
      </c>
      <c r="G32" s="94"/>
      <c r="H32" s="95"/>
    </row>
    <row r="33" spans="4:6" x14ac:dyDescent="0.3">
      <c r="D33" s="47"/>
      <c r="E33" s="52"/>
      <c r="F33" s="52"/>
    </row>
  </sheetData>
  <mergeCells count="12">
    <mergeCell ref="A23:A27"/>
    <mergeCell ref="A28:A32"/>
    <mergeCell ref="G10:H11"/>
    <mergeCell ref="G12:H21"/>
    <mergeCell ref="G22:H22"/>
    <mergeCell ref="G23:H27"/>
    <mergeCell ref="G28:H28"/>
    <mergeCell ref="A1:H1"/>
    <mergeCell ref="A3:A9"/>
    <mergeCell ref="A10:A22"/>
    <mergeCell ref="G4:H9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DC4F5-23CC-46CC-9633-15E5609ADBED}">
  <dimension ref="A1:F38"/>
  <sheetViews>
    <sheetView topLeftCell="A19" workbookViewId="0">
      <selection activeCell="A37" sqref="A37"/>
    </sheetView>
  </sheetViews>
  <sheetFormatPr defaultRowHeight="15" x14ac:dyDescent="0.25"/>
  <cols>
    <col min="6" max="6" width="9.28515625" bestFit="1" customWidth="1"/>
  </cols>
  <sheetData>
    <row r="1" spans="1:6" x14ac:dyDescent="0.25">
      <c r="A1" s="40" t="s">
        <v>15</v>
      </c>
      <c r="B1" s="40"/>
      <c r="C1" s="40"/>
      <c r="D1" s="40"/>
      <c r="E1" s="40"/>
      <c r="F1" s="40"/>
    </row>
    <row r="2" spans="1:6" x14ac:dyDescent="0.25">
      <c r="D2" s="14" t="s">
        <v>16</v>
      </c>
      <c r="E2" s="14" t="s">
        <v>17</v>
      </c>
      <c r="F2" s="16" t="s">
        <v>18</v>
      </c>
    </row>
    <row r="3" spans="1:6" x14ac:dyDescent="0.25">
      <c r="A3" s="12" t="s">
        <v>19</v>
      </c>
      <c r="D3" s="4"/>
      <c r="E3" s="4"/>
      <c r="F3" s="9"/>
    </row>
    <row r="4" spans="1:6" x14ac:dyDescent="0.25">
      <c r="A4" t="s">
        <v>20</v>
      </c>
      <c r="D4" s="4">
        <v>650000</v>
      </c>
      <c r="E4" s="4">
        <v>0</v>
      </c>
      <c r="F4" s="9">
        <f>D4</f>
        <v>650000</v>
      </c>
    </row>
    <row r="5" spans="1:6" x14ac:dyDescent="0.25">
      <c r="A5" t="s">
        <v>21</v>
      </c>
      <c r="D5" s="4">
        <f>Workings!B27</f>
        <v>114000</v>
      </c>
      <c r="E5" s="4">
        <f>Workings!I27</f>
        <v>33500</v>
      </c>
      <c r="F5" s="9">
        <f>D5-E5</f>
        <v>80500</v>
      </c>
    </row>
    <row r="6" spans="1:6" x14ac:dyDescent="0.25">
      <c r="D6" s="15">
        <f>D4+D5</f>
        <v>764000</v>
      </c>
      <c r="E6" s="15">
        <f>E5+E4</f>
        <v>33500</v>
      </c>
      <c r="F6" s="18">
        <f>D6-E6</f>
        <v>730500</v>
      </c>
    </row>
    <row r="7" spans="1:6" x14ac:dyDescent="0.25">
      <c r="A7" s="12" t="s">
        <v>22</v>
      </c>
      <c r="D7" s="4"/>
      <c r="E7" s="4"/>
      <c r="F7" s="9"/>
    </row>
    <row r="8" spans="1:6" x14ac:dyDescent="0.25">
      <c r="A8" t="s">
        <v>23</v>
      </c>
      <c r="D8" s="4"/>
      <c r="E8" s="4"/>
      <c r="F8" s="9">
        <f>Workings!E18</f>
        <v>41600</v>
      </c>
    </row>
    <row r="9" spans="1:6" x14ac:dyDescent="0.25">
      <c r="D9" s="4"/>
      <c r="E9" s="4"/>
      <c r="F9" s="9"/>
    </row>
    <row r="10" spans="1:6" x14ac:dyDescent="0.25">
      <c r="A10" s="12" t="s">
        <v>24</v>
      </c>
      <c r="D10" s="4"/>
      <c r="E10" s="4"/>
      <c r="F10" s="9"/>
    </row>
    <row r="11" spans="1:6" x14ac:dyDescent="0.25">
      <c r="A11" t="s">
        <v>25</v>
      </c>
      <c r="D11" s="4"/>
      <c r="E11" s="4"/>
      <c r="F11" s="9">
        <v>150000</v>
      </c>
    </row>
    <row r="12" spans="1:6" x14ac:dyDescent="0.25">
      <c r="D12" s="4"/>
      <c r="E12" s="4"/>
      <c r="F12" s="18">
        <f>F6+F8+F11</f>
        <v>922100</v>
      </c>
    </row>
    <row r="13" spans="1:6" x14ac:dyDescent="0.25">
      <c r="A13" s="12" t="s">
        <v>26</v>
      </c>
      <c r="D13" s="4"/>
      <c r="E13" s="4"/>
      <c r="F13" s="9"/>
    </row>
    <row r="14" spans="1:6" x14ac:dyDescent="0.25">
      <c r="A14" t="s">
        <v>27</v>
      </c>
      <c r="D14" s="4"/>
      <c r="E14" s="4">
        <f>Workings!B5</f>
        <v>82100</v>
      </c>
      <c r="F14" s="9"/>
    </row>
    <row r="15" spans="1:6" x14ac:dyDescent="0.25">
      <c r="A15" t="s">
        <v>28</v>
      </c>
      <c r="D15" s="4">
        <f>Workings!B105</f>
        <v>53800</v>
      </c>
      <c r="E15" s="4"/>
      <c r="F15" s="9"/>
    </row>
    <row r="16" spans="1:6" x14ac:dyDescent="0.25">
      <c r="A16" t="s">
        <v>29</v>
      </c>
      <c r="D16" s="13">
        <v>3200</v>
      </c>
      <c r="E16" s="4">
        <f>D15-D16</f>
        <v>50600</v>
      </c>
      <c r="F16" s="9"/>
    </row>
    <row r="17" spans="1:6" x14ac:dyDescent="0.25">
      <c r="A17" t="s">
        <v>30</v>
      </c>
      <c r="D17" s="4"/>
      <c r="E17" s="4">
        <f>Workings!B100</f>
        <v>12600</v>
      </c>
      <c r="F17" s="9"/>
    </row>
    <row r="18" spans="1:6" x14ac:dyDescent="0.25">
      <c r="A18" t="s">
        <v>31</v>
      </c>
      <c r="D18" s="4"/>
      <c r="E18" s="4">
        <f>Workings!C95</f>
        <v>500</v>
      </c>
      <c r="F18" s="9"/>
    </row>
    <row r="19" spans="1:6" x14ac:dyDescent="0.25">
      <c r="D19" s="4"/>
      <c r="E19" s="31">
        <f>E14+E16+E17+E18</f>
        <v>145800</v>
      </c>
      <c r="F19" s="9"/>
    </row>
    <row r="20" spans="1:6" x14ac:dyDescent="0.25">
      <c r="A20" s="12" t="s">
        <v>32</v>
      </c>
      <c r="E20" s="4"/>
      <c r="F20" s="9"/>
    </row>
    <row r="21" spans="1:6" x14ac:dyDescent="0.25">
      <c r="A21" t="s">
        <v>33</v>
      </c>
      <c r="D21" s="4">
        <f>Workings!H7</f>
        <v>53520</v>
      </c>
      <c r="E21" s="4"/>
      <c r="F21" s="9"/>
    </row>
    <row r="22" spans="1:6" x14ac:dyDescent="0.25">
      <c r="A22" t="s">
        <v>34</v>
      </c>
      <c r="D22" s="4">
        <f>Workings!C71</f>
        <v>10400</v>
      </c>
      <c r="E22" s="4"/>
      <c r="F22" s="9"/>
    </row>
    <row r="23" spans="1:6" x14ac:dyDescent="0.25">
      <c r="A23" t="s">
        <v>35</v>
      </c>
      <c r="D23" s="4">
        <v>5100</v>
      </c>
      <c r="E23" s="4"/>
      <c r="F23" s="9"/>
    </row>
    <row r="24" spans="1:6" x14ac:dyDescent="0.25">
      <c r="A24" t="s">
        <v>36</v>
      </c>
      <c r="D24" s="4">
        <v>4300</v>
      </c>
      <c r="E24" s="4">
        <f>D21+D22+D23+D24</f>
        <v>73320</v>
      </c>
      <c r="F24" s="9"/>
    </row>
    <row r="25" spans="1:6" x14ac:dyDescent="0.25">
      <c r="A25" t="s">
        <v>37</v>
      </c>
      <c r="D25" s="4"/>
      <c r="E25" s="4"/>
      <c r="F25" s="9">
        <f>E19-E24</f>
        <v>72480</v>
      </c>
    </row>
    <row r="26" spans="1:6" x14ac:dyDescent="0.25">
      <c r="A26" t="s">
        <v>38</v>
      </c>
      <c r="D26" s="4"/>
      <c r="E26" s="4"/>
      <c r="F26" s="17">
        <f>F12+F25</f>
        <v>994580</v>
      </c>
    </row>
    <row r="27" spans="1:6" x14ac:dyDescent="0.25">
      <c r="D27" s="4"/>
      <c r="E27" s="4"/>
      <c r="F27" s="9"/>
    </row>
    <row r="28" spans="1:6" x14ac:dyDescent="0.25">
      <c r="A28" s="12" t="s">
        <v>39</v>
      </c>
      <c r="D28" s="4"/>
      <c r="E28" s="4"/>
      <c r="F28" s="9"/>
    </row>
    <row r="29" spans="1:6" x14ac:dyDescent="0.25">
      <c r="A29" s="12" t="s">
        <v>40</v>
      </c>
      <c r="E29" s="4"/>
      <c r="F29" s="9"/>
    </row>
    <row r="30" spans="1:6" x14ac:dyDescent="0.25">
      <c r="A30" t="s">
        <v>41</v>
      </c>
      <c r="D30" s="4"/>
      <c r="E30" s="4"/>
      <c r="F30" s="9">
        <v>260000</v>
      </c>
    </row>
    <row r="31" spans="1:6" x14ac:dyDescent="0.25">
      <c r="A31" s="12" t="s">
        <v>42</v>
      </c>
      <c r="D31" s="4"/>
      <c r="E31" s="4"/>
      <c r="F31" s="9"/>
    </row>
    <row r="32" spans="1:6" x14ac:dyDescent="0.25">
      <c r="A32" t="s">
        <v>43</v>
      </c>
      <c r="D32" s="4"/>
      <c r="E32" s="4">
        <v>370000</v>
      </c>
      <c r="F32" s="9"/>
    </row>
    <row r="33" spans="1:6" x14ac:dyDescent="0.25">
      <c r="A33" t="s">
        <v>44</v>
      </c>
      <c r="D33" s="4"/>
      <c r="E33" s="20" t="str">
        <f>'Trading P &amp; L Ac'!F32</f>
        <v>x</v>
      </c>
      <c r="F33" s="9"/>
    </row>
    <row r="34" spans="1:6" x14ac:dyDescent="0.25">
      <c r="D34" s="4"/>
      <c r="E34" s="21" t="e">
        <f>E32+E33</f>
        <v>#VALUE!</v>
      </c>
      <c r="F34" s="9"/>
    </row>
    <row r="35" spans="1:6" x14ac:dyDescent="0.25">
      <c r="A35" t="s">
        <v>45</v>
      </c>
      <c r="D35" s="4"/>
      <c r="E35" s="13">
        <f>Workings!B89</f>
        <v>26900</v>
      </c>
      <c r="F35" s="10" t="e">
        <f>E34-E35</f>
        <v>#VALUE!</v>
      </c>
    </row>
    <row r="36" spans="1:6" x14ac:dyDescent="0.25">
      <c r="A36" t="s">
        <v>46</v>
      </c>
      <c r="D36" s="4"/>
      <c r="E36" s="4"/>
      <c r="F36" s="9">
        <f>Workings!E82</f>
        <v>197300</v>
      </c>
    </row>
    <row r="37" spans="1:6" x14ac:dyDescent="0.25">
      <c r="A37" s="12" t="s">
        <v>47</v>
      </c>
      <c r="D37" s="4"/>
      <c r="E37" s="4"/>
      <c r="F37" s="19" t="e">
        <f>F30+F35+F36</f>
        <v>#VALUE!</v>
      </c>
    </row>
    <row r="38" spans="1:6" x14ac:dyDescent="0.25">
      <c r="D38" s="4"/>
      <c r="E38" s="4"/>
      <c r="F38" s="9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8"/>
  <sheetViews>
    <sheetView topLeftCell="A73" workbookViewId="0">
      <selection activeCell="E82" sqref="E82"/>
    </sheetView>
  </sheetViews>
  <sheetFormatPr defaultRowHeight="15" x14ac:dyDescent="0.25"/>
  <sheetData>
    <row r="1" spans="1:9" x14ac:dyDescent="0.25">
      <c r="A1" s="1" t="s">
        <v>48</v>
      </c>
    </row>
    <row r="2" spans="1:9" s="6" customFormat="1" x14ac:dyDescent="0.25">
      <c r="A2" s="41" t="s">
        <v>49</v>
      </c>
      <c r="B2" s="41"/>
      <c r="D2" s="41" t="s">
        <v>50</v>
      </c>
      <c r="E2" s="41"/>
      <c r="G2" s="41" t="s">
        <v>51</v>
      </c>
      <c r="H2" s="41"/>
    </row>
    <row r="3" spans="1:9" x14ac:dyDescent="0.25">
      <c r="A3" t="s">
        <v>52</v>
      </c>
      <c r="B3">
        <v>78500</v>
      </c>
      <c r="D3" t="s">
        <v>50</v>
      </c>
      <c r="E3">
        <v>455000</v>
      </c>
      <c r="G3" t="s">
        <v>51</v>
      </c>
      <c r="H3">
        <v>49200</v>
      </c>
    </row>
    <row r="4" spans="1:9" x14ac:dyDescent="0.25">
      <c r="A4" t="s">
        <v>53</v>
      </c>
      <c r="B4">
        <f>B10</f>
        <v>3600</v>
      </c>
      <c r="D4" t="str">
        <f>A4</f>
        <v>GIT</v>
      </c>
      <c r="E4">
        <f>B10</f>
        <v>3600</v>
      </c>
      <c r="G4" t="str">
        <f>D3:D4</f>
        <v>GIT</v>
      </c>
      <c r="H4">
        <f>E4</f>
        <v>3600</v>
      </c>
    </row>
    <row r="5" spans="1:9" x14ac:dyDescent="0.25">
      <c r="B5" s="26">
        <f>B3+B4</f>
        <v>82100</v>
      </c>
      <c r="C5" t="s">
        <v>54</v>
      </c>
      <c r="E5" s="32">
        <f>E3+E4</f>
        <v>458600</v>
      </c>
      <c r="H5" s="32">
        <f>H3+H4</f>
        <v>52800</v>
      </c>
    </row>
    <row r="6" spans="1:9" x14ac:dyDescent="0.25">
      <c r="A6" s="11"/>
      <c r="B6" s="25"/>
      <c r="D6" t="s">
        <v>55</v>
      </c>
      <c r="E6">
        <f>B25-D31</f>
        <v>32500</v>
      </c>
      <c r="G6" t="str">
        <f>D8</f>
        <v>Restocking</v>
      </c>
      <c r="H6">
        <f>E8</f>
        <v>720</v>
      </c>
    </row>
    <row r="7" spans="1:9" x14ac:dyDescent="0.25">
      <c r="A7" s="33">
        <v>1.25</v>
      </c>
      <c r="B7" s="25">
        <v>4500</v>
      </c>
      <c r="E7" s="32">
        <f>E5-E6</f>
        <v>426100</v>
      </c>
      <c r="H7" s="26">
        <f>H5+H6</f>
        <v>53520</v>
      </c>
      <c r="I7" t="s">
        <v>56</v>
      </c>
    </row>
    <row r="8" spans="1:9" x14ac:dyDescent="0.25">
      <c r="A8" s="33">
        <v>0.01</v>
      </c>
      <c r="B8" s="34" t="s">
        <v>57</v>
      </c>
      <c r="D8" t="s">
        <v>58</v>
      </c>
      <c r="E8">
        <f>E61</f>
        <v>720</v>
      </c>
    </row>
    <row r="9" spans="1:9" x14ac:dyDescent="0.25">
      <c r="A9" s="35"/>
      <c r="B9" s="34">
        <f>4500/125</f>
        <v>36</v>
      </c>
      <c r="E9" s="32">
        <f>E7+E8</f>
        <v>426820</v>
      </c>
    </row>
    <row r="10" spans="1:9" x14ac:dyDescent="0.25">
      <c r="A10" s="36">
        <v>1</v>
      </c>
      <c r="B10" s="34">
        <f>B9*100</f>
        <v>3600</v>
      </c>
      <c r="D10" t="s">
        <v>59</v>
      </c>
      <c r="E10">
        <f>F89</f>
        <v>1600</v>
      </c>
    </row>
    <row r="11" spans="1:9" x14ac:dyDescent="0.25">
      <c r="A11" s="1"/>
      <c r="B11" s="29"/>
      <c r="E11" s="26">
        <f>E9-E10</f>
        <v>425220</v>
      </c>
      <c r="F11" t="s">
        <v>60</v>
      </c>
    </row>
    <row r="12" spans="1:9" x14ac:dyDescent="0.25">
      <c r="A12" s="1" t="s">
        <v>61</v>
      </c>
    </row>
    <row r="13" spans="1:9" x14ac:dyDescent="0.25">
      <c r="A13" s="7" t="s">
        <v>62</v>
      </c>
      <c r="D13" s="43" t="s">
        <v>63</v>
      </c>
      <c r="E13" s="43"/>
    </row>
    <row r="14" spans="1:9" x14ac:dyDescent="0.25">
      <c r="A14" s="11" t="s">
        <v>64</v>
      </c>
      <c r="D14" t="s">
        <v>63</v>
      </c>
      <c r="E14">
        <v>50500</v>
      </c>
    </row>
    <row r="15" spans="1:9" x14ac:dyDescent="0.25">
      <c r="A15">
        <f>SUM((150000*0.04)*3)/12</f>
        <v>1500</v>
      </c>
      <c r="D15" t="s">
        <v>65</v>
      </c>
      <c r="E15">
        <f>A15</f>
        <v>1500</v>
      </c>
    </row>
    <row r="16" spans="1:9" x14ac:dyDescent="0.25">
      <c r="E16" s="28">
        <f>E14+E15</f>
        <v>52000</v>
      </c>
    </row>
    <row r="17" spans="1:10" x14ac:dyDescent="0.25">
      <c r="D17" t="s">
        <v>66</v>
      </c>
      <c r="E17">
        <f>A20</f>
        <v>10400</v>
      </c>
    </row>
    <row r="18" spans="1:10" x14ac:dyDescent="0.25">
      <c r="A18" s="41" t="s">
        <v>67</v>
      </c>
      <c r="B18" s="41"/>
      <c r="E18" s="26">
        <f>E16-E17</f>
        <v>41600</v>
      </c>
      <c r="F18" t="s">
        <v>68</v>
      </c>
    </row>
    <row r="19" spans="1:10" x14ac:dyDescent="0.25">
      <c r="A19">
        <f>E16</f>
        <v>52000</v>
      </c>
      <c r="B19" t="s">
        <v>69</v>
      </c>
    </row>
    <row r="20" spans="1:10" x14ac:dyDescent="0.25">
      <c r="A20" s="8">
        <f>A19/5</f>
        <v>10400</v>
      </c>
      <c r="B20" t="s">
        <v>70</v>
      </c>
    </row>
    <row r="22" spans="1:10" x14ac:dyDescent="0.25">
      <c r="A22" s="1" t="s">
        <v>71</v>
      </c>
    </row>
    <row r="23" spans="1:10" x14ac:dyDescent="0.25">
      <c r="A23" s="3"/>
      <c r="B23" s="42" t="s">
        <v>72</v>
      </c>
      <c r="C23" s="42"/>
      <c r="D23" s="3"/>
      <c r="F23" s="3"/>
      <c r="G23" s="42" t="s">
        <v>73</v>
      </c>
      <c r="H23" s="42"/>
      <c r="I23" s="3"/>
    </row>
    <row r="24" spans="1:10" x14ac:dyDescent="0.25">
      <c r="A24" t="s">
        <v>74</v>
      </c>
      <c r="B24">
        <v>105000</v>
      </c>
      <c r="C24" s="4" t="s">
        <v>75</v>
      </c>
      <c r="D24">
        <v>33000</v>
      </c>
      <c r="F24" t="s">
        <v>75</v>
      </c>
      <c r="G24">
        <f>F41</f>
        <v>24750</v>
      </c>
      <c r="H24" s="4" t="s">
        <v>74</v>
      </c>
      <c r="I24">
        <f>105000-68500</f>
        <v>36500</v>
      </c>
    </row>
    <row r="25" spans="1:10" x14ac:dyDescent="0.25">
      <c r="A25" t="s">
        <v>76</v>
      </c>
      <c r="B25">
        <v>42000</v>
      </c>
      <c r="C25" s="4" t="s">
        <v>74</v>
      </c>
      <c r="D25">
        <f>B26-D24</f>
        <v>114000</v>
      </c>
      <c r="F25" t="s">
        <v>74</v>
      </c>
      <c r="G25">
        <f>I26-G24</f>
        <v>33500</v>
      </c>
      <c r="H25" s="4" t="s">
        <v>77</v>
      </c>
      <c r="I25" s="8">
        <f>D47</f>
        <v>21750</v>
      </c>
      <c r="J25" t="s">
        <v>78</v>
      </c>
    </row>
    <row r="26" spans="1:10" x14ac:dyDescent="0.25">
      <c r="B26" s="2">
        <f>B24+B25</f>
        <v>147000</v>
      </c>
      <c r="C26" s="4"/>
      <c r="D26" s="2">
        <f>D24+D25</f>
        <v>147000</v>
      </c>
      <c r="G26" s="2">
        <f>G24+G25</f>
        <v>58250</v>
      </c>
      <c r="H26" s="4"/>
      <c r="I26" s="2">
        <f>I24+I25</f>
        <v>58250</v>
      </c>
    </row>
    <row r="27" spans="1:10" x14ac:dyDescent="0.25">
      <c r="A27" t="s">
        <v>74</v>
      </c>
      <c r="B27" s="8">
        <f>D25</f>
        <v>114000</v>
      </c>
      <c r="C27" s="4" t="s">
        <v>68</v>
      </c>
      <c r="H27" s="4" t="s">
        <v>74</v>
      </c>
      <c r="I27" s="8">
        <f>G25</f>
        <v>33500</v>
      </c>
      <c r="J27" t="s">
        <v>79</v>
      </c>
    </row>
    <row r="29" spans="1:10" x14ac:dyDescent="0.25">
      <c r="A29" s="3"/>
      <c r="B29" s="42" t="s">
        <v>75</v>
      </c>
      <c r="C29" s="42"/>
      <c r="D29" s="3"/>
    </row>
    <row r="30" spans="1:10" x14ac:dyDescent="0.25">
      <c r="A30" t="s">
        <v>72</v>
      </c>
      <c r="B30">
        <f>D24</f>
        <v>33000</v>
      </c>
      <c r="C30" s="4" t="s">
        <v>80</v>
      </c>
      <c r="D30">
        <f>G24</f>
        <v>24750</v>
      </c>
    </row>
    <row r="31" spans="1:10" x14ac:dyDescent="0.25">
      <c r="A31" t="s">
        <v>81</v>
      </c>
      <c r="B31" s="8">
        <v>1250</v>
      </c>
      <c r="C31" s="4" t="s">
        <v>82</v>
      </c>
      <c r="D31">
        <v>9500</v>
      </c>
    </row>
    <row r="32" spans="1:10" x14ac:dyDescent="0.25">
      <c r="B32" s="24"/>
      <c r="C32" s="4"/>
      <c r="D32" s="24"/>
    </row>
    <row r="33" spans="1:6" x14ac:dyDescent="0.25">
      <c r="B33" s="2">
        <f>B30+B31</f>
        <v>34250</v>
      </c>
      <c r="C33" s="4"/>
      <c r="D33" s="2">
        <f>D30+D31+D32</f>
        <v>34250</v>
      </c>
    </row>
    <row r="34" spans="1:6" x14ac:dyDescent="0.25">
      <c r="C34" s="4"/>
    </row>
    <row r="35" spans="1:6" x14ac:dyDescent="0.25">
      <c r="A35" s="7" t="s">
        <v>83</v>
      </c>
    </row>
    <row r="36" spans="1:6" x14ac:dyDescent="0.25">
      <c r="A36" t="s">
        <v>84</v>
      </c>
      <c r="C36" s="5" t="s">
        <v>85</v>
      </c>
      <c r="D36" t="s">
        <v>86</v>
      </c>
      <c r="E36" t="s">
        <v>87</v>
      </c>
      <c r="F36">
        <f>SUM((33000*0.2)*2)/12</f>
        <v>1100</v>
      </c>
    </row>
    <row r="37" spans="1:6" x14ac:dyDescent="0.25">
      <c r="A37" t="s">
        <v>88</v>
      </c>
      <c r="C37">
        <v>12</v>
      </c>
      <c r="D37" t="str">
        <f>D36</f>
        <v>* 33000</v>
      </c>
      <c r="E37" t="s">
        <v>87</v>
      </c>
      <c r="F37">
        <f>33000*0.2</f>
        <v>6600</v>
      </c>
    </row>
    <row r="38" spans="1:6" x14ac:dyDescent="0.25">
      <c r="A38" t="s">
        <v>89</v>
      </c>
      <c r="C38">
        <v>12</v>
      </c>
      <c r="D38" t="str">
        <f>D37</f>
        <v>* 33000</v>
      </c>
      <c r="E38" t="str">
        <f>E36</f>
        <v>* 20%</v>
      </c>
      <c r="F38">
        <f>33000*0.2</f>
        <v>6600</v>
      </c>
    </row>
    <row r="39" spans="1:6" x14ac:dyDescent="0.25">
      <c r="A39" t="s">
        <v>90</v>
      </c>
      <c r="C39">
        <f>C38</f>
        <v>12</v>
      </c>
      <c r="D39" t="str">
        <f>D38</f>
        <v>* 33000</v>
      </c>
      <c r="E39" t="str">
        <f>E38</f>
        <v>* 20%</v>
      </c>
      <c r="F39">
        <f>33000*0.2</f>
        <v>6600</v>
      </c>
    </row>
    <row r="40" spans="1:6" x14ac:dyDescent="0.25">
      <c r="A40" t="s">
        <v>91</v>
      </c>
      <c r="C40" s="5" t="s">
        <v>92</v>
      </c>
      <c r="D40" t="str">
        <f>D38</f>
        <v>* 33000</v>
      </c>
      <c r="E40" t="str">
        <f>E36</f>
        <v>* 20%</v>
      </c>
      <c r="F40">
        <f>SUM((33000*0.2)*7)/12</f>
        <v>3850</v>
      </c>
    </row>
    <row r="41" spans="1:6" x14ac:dyDescent="0.25">
      <c r="F41" s="2">
        <f>SUM(F36:F40)</f>
        <v>24750</v>
      </c>
    </row>
    <row r="43" spans="1:6" x14ac:dyDescent="0.25">
      <c r="A43" s="6" t="s">
        <v>93</v>
      </c>
    </row>
    <row r="44" spans="1:6" x14ac:dyDescent="0.25">
      <c r="A44">
        <f>B24-D24</f>
        <v>72000</v>
      </c>
      <c r="B44" t="s">
        <v>94</v>
      </c>
      <c r="D44">
        <f>A44*0.2</f>
        <v>14400</v>
      </c>
    </row>
    <row r="45" spans="1:6" x14ac:dyDescent="0.25">
      <c r="A45" t="s">
        <v>95</v>
      </c>
      <c r="D45">
        <f>SUM((42000*0.2)*5)/12</f>
        <v>3500</v>
      </c>
    </row>
    <row r="46" spans="1:6" x14ac:dyDescent="0.25">
      <c r="D46">
        <f>F40</f>
        <v>3850</v>
      </c>
    </row>
    <row r="47" spans="1:6" x14ac:dyDescent="0.25">
      <c r="D47" s="2">
        <f>D44+D45+D46</f>
        <v>21750</v>
      </c>
    </row>
    <row r="48" spans="1:6" x14ac:dyDescent="0.25">
      <c r="D48" s="25"/>
    </row>
    <row r="49" spans="1:9" x14ac:dyDescent="0.25">
      <c r="A49" s="1" t="s">
        <v>96</v>
      </c>
    </row>
    <row r="50" spans="1:9" x14ac:dyDescent="0.25">
      <c r="A50" s="6" t="s">
        <v>97</v>
      </c>
      <c r="D50" s="44" t="s">
        <v>98</v>
      </c>
      <c r="E50" s="44"/>
      <c r="G50" s="44" t="s">
        <v>99</v>
      </c>
      <c r="H50" s="44"/>
    </row>
    <row r="51" spans="1:9" x14ac:dyDescent="0.25">
      <c r="A51" t="s">
        <v>100</v>
      </c>
      <c r="D51" t="s">
        <v>98</v>
      </c>
      <c r="E51">
        <v>10500</v>
      </c>
      <c r="G51" t="s">
        <v>99</v>
      </c>
      <c r="H51">
        <v>3700</v>
      </c>
    </row>
    <row r="52" spans="1:9" x14ac:dyDescent="0.25">
      <c r="A52">
        <f>180000*0.06</f>
        <v>10800</v>
      </c>
      <c r="B52" t="s">
        <v>101</v>
      </c>
      <c r="D52" t="s">
        <v>99</v>
      </c>
      <c r="E52">
        <v>400</v>
      </c>
      <c r="G52" t="s">
        <v>102</v>
      </c>
      <c r="H52">
        <v>-400</v>
      </c>
    </row>
    <row r="53" spans="1:9" x14ac:dyDescent="0.25">
      <c r="A53">
        <f>SUM(A52*4)/12</f>
        <v>3600</v>
      </c>
      <c r="D53" t="s">
        <v>103</v>
      </c>
      <c r="E53">
        <f>-B57</f>
        <v>-300</v>
      </c>
      <c r="H53" s="26">
        <f>H51+H52</f>
        <v>3300</v>
      </c>
      <c r="I53" t="s">
        <v>56</v>
      </c>
    </row>
    <row r="54" spans="1:9" x14ac:dyDescent="0.25">
      <c r="E54" s="26">
        <f>SUM(E51+E53)+E52</f>
        <v>10600</v>
      </c>
      <c r="F54" t="s">
        <v>70</v>
      </c>
    </row>
    <row r="55" spans="1:9" x14ac:dyDescent="0.25">
      <c r="A55" t="s">
        <v>104</v>
      </c>
      <c r="B55">
        <f>A53</f>
        <v>3600</v>
      </c>
    </row>
    <row r="56" spans="1:9" x14ac:dyDescent="0.25">
      <c r="A56" t="s">
        <v>105</v>
      </c>
      <c r="B56">
        <v>3300</v>
      </c>
    </row>
    <row r="57" spans="1:9" x14ac:dyDescent="0.25">
      <c r="B57" s="2">
        <f>B55-B56</f>
        <v>300</v>
      </c>
    </row>
    <row r="58" spans="1:9" x14ac:dyDescent="0.25">
      <c r="B58" s="25"/>
    </row>
    <row r="59" spans="1:9" x14ac:dyDescent="0.25">
      <c r="A59" s="1" t="s">
        <v>106</v>
      </c>
      <c r="B59" s="25"/>
    </row>
    <row r="60" spans="1:9" x14ac:dyDescent="0.25">
      <c r="A60" s="30" t="s">
        <v>107</v>
      </c>
      <c r="B60" s="25">
        <v>6000</v>
      </c>
      <c r="D60" t="s">
        <v>58</v>
      </c>
      <c r="E60" t="s">
        <v>108</v>
      </c>
    </row>
    <row r="61" spans="1:9" x14ac:dyDescent="0.25">
      <c r="A61" s="22" t="s">
        <v>109</v>
      </c>
      <c r="B61" s="25" t="s">
        <v>110</v>
      </c>
      <c r="E61">
        <f>4800*0.15</f>
        <v>720</v>
      </c>
    </row>
    <row r="62" spans="1:9" x14ac:dyDescent="0.25">
      <c r="B62" s="25">
        <f>B60/125</f>
        <v>48</v>
      </c>
    </row>
    <row r="63" spans="1:9" x14ac:dyDescent="0.25">
      <c r="A63" s="22" t="s">
        <v>111</v>
      </c>
      <c r="B63" s="25" t="s">
        <v>112</v>
      </c>
      <c r="D63" t="s">
        <v>113</v>
      </c>
      <c r="E63" t="s">
        <v>50</v>
      </c>
    </row>
    <row r="64" spans="1:9" x14ac:dyDescent="0.25">
      <c r="B64" s="25">
        <f>B62*100</f>
        <v>4800</v>
      </c>
      <c r="E64" t="s">
        <v>51</v>
      </c>
    </row>
    <row r="65" spans="1:7" x14ac:dyDescent="0.25">
      <c r="B65" s="25"/>
    </row>
    <row r="66" spans="1:7" x14ac:dyDescent="0.25">
      <c r="A66" s="1" t="s">
        <v>114</v>
      </c>
    </row>
    <row r="67" spans="1:7" x14ac:dyDescent="0.25">
      <c r="A67">
        <v>180000</v>
      </c>
      <c r="B67" t="s">
        <v>115</v>
      </c>
      <c r="C67">
        <f>A67*0.06</f>
        <v>10800</v>
      </c>
      <c r="E67" t="s">
        <v>116</v>
      </c>
      <c r="F67">
        <f>C69</f>
        <v>14000</v>
      </c>
      <c r="G67" t="s">
        <v>117</v>
      </c>
    </row>
    <row r="68" spans="1:7" x14ac:dyDescent="0.25">
      <c r="A68" t="s">
        <v>118</v>
      </c>
      <c r="C68">
        <f>SUM((80000*0.06)*8)/12</f>
        <v>3200</v>
      </c>
      <c r="E68" t="s">
        <v>59</v>
      </c>
      <c r="F68">
        <f>F67*0.2</f>
        <v>2800</v>
      </c>
    </row>
    <row r="69" spans="1:7" x14ac:dyDescent="0.25">
      <c r="C69" s="27">
        <f>C67+C68</f>
        <v>14000</v>
      </c>
      <c r="D69" t="s">
        <v>116</v>
      </c>
      <c r="F69" s="26">
        <f>F67-F68</f>
        <v>11200</v>
      </c>
      <c r="G69" t="s">
        <v>119</v>
      </c>
    </row>
    <row r="70" spans="1:7" x14ac:dyDescent="0.25">
      <c r="B70" t="s">
        <v>105</v>
      </c>
      <c r="C70">
        <f>B55</f>
        <v>3600</v>
      </c>
    </row>
    <row r="71" spans="1:7" x14ac:dyDescent="0.25">
      <c r="C71" s="26">
        <f>C69-C70</f>
        <v>10400</v>
      </c>
      <c r="D71" t="s">
        <v>56</v>
      </c>
    </row>
    <row r="72" spans="1:7" x14ac:dyDescent="0.25">
      <c r="C72" s="29"/>
    </row>
    <row r="73" spans="1:7" x14ac:dyDescent="0.25">
      <c r="A73" s="1" t="s">
        <v>120</v>
      </c>
      <c r="C73" s="29"/>
    </row>
    <row r="74" spans="1:7" x14ac:dyDescent="0.25">
      <c r="C74" s="29"/>
    </row>
    <row r="75" spans="1:7" x14ac:dyDescent="0.25">
      <c r="B75">
        <v>515000</v>
      </c>
      <c r="C75" s="34" t="s">
        <v>121</v>
      </c>
    </row>
    <row r="76" spans="1:7" x14ac:dyDescent="0.25">
      <c r="B76">
        <f>B75*0.02</f>
        <v>10300</v>
      </c>
      <c r="C76" s="29"/>
    </row>
    <row r="77" spans="1:7" x14ac:dyDescent="0.25">
      <c r="C77" s="29"/>
    </row>
    <row r="78" spans="1:7" x14ac:dyDescent="0.25">
      <c r="A78" s="1" t="s">
        <v>122</v>
      </c>
      <c r="C78" s="29"/>
    </row>
    <row r="79" spans="1:7" x14ac:dyDescent="0.25">
      <c r="A79" s="11" t="s">
        <v>123</v>
      </c>
      <c r="B79">
        <v>650000</v>
      </c>
      <c r="C79" s="29"/>
      <c r="D79" t="s">
        <v>124</v>
      </c>
      <c r="E79">
        <f>B81</f>
        <v>135000</v>
      </c>
    </row>
    <row r="80" spans="1:7" x14ac:dyDescent="0.25">
      <c r="A80" s="11" t="s">
        <v>125</v>
      </c>
      <c r="B80">
        <v>515000</v>
      </c>
      <c r="C80" s="29"/>
      <c r="D80" t="s">
        <v>73</v>
      </c>
      <c r="E80">
        <f>515000-463000</f>
        <v>52000</v>
      </c>
    </row>
    <row r="81" spans="1:6" x14ac:dyDescent="0.25">
      <c r="B81" s="23">
        <f>B79-B80</f>
        <v>135000</v>
      </c>
      <c r="C81" s="29"/>
      <c r="D81" t="s">
        <v>126</v>
      </c>
      <c r="E81">
        <f>B76</f>
        <v>10300</v>
      </c>
    </row>
    <row r="82" spans="1:6" x14ac:dyDescent="0.25">
      <c r="B82" s="25"/>
      <c r="C82" s="29"/>
      <c r="E82" s="39">
        <f>E79+E80+E81</f>
        <v>197300</v>
      </c>
      <c r="F82" s="38" t="s">
        <v>127</v>
      </c>
    </row>
    <row r="84" spans="1:6" x14ac:dyDescent="0.25">
      <c r="A84" s="1" t="s">
        <v>128</v>
      </c>
    </row>
    <row r="85" spans="1:6" x14ac:dyDescent="0.25">
      <c r="A85" t="s">
        <v>59</v>
      </c>
      <c r="B85">
        <v>22500</v>
      </c>
      <c r="E85" s="22" t="s">
        <v>107</v>
      </c>
      <c r="F85">
        <v>2000</v>
      </c>
    </row>
    <row r="86" spans="1:6" x14ac:dyDescent="0.25">
      <c r="A86" t="s">
        <v>129</v>
      </c>
      <c r="B86">
        <f>F68</f>
        <v>2800</v>
      </c>
      <c r="E86" s="37">
        <v>0.01</v>
      </c>
      <c r="F86" t="s">
        <v>130</v>
      </c>
    </row>
    <row r="87" spans="1:6" x14ac:dyDescent="0.25">
      <c r="B87" s="28">
        <f>B85+B86</f>
        <v>25300</v>
      </c>
      <c r="F87">
        <f>2000/125</f>
        <v>16</v>
      </c>
    </row>
    <row r="88" spans="1:6" x14ac:dyDescent="0.25">
      <c r="A88" t="s">
        <v>59</v>
      </c>
      <c r="B88" s="34">
        <f>F89</f>
        <v>1600</v>
      </c>
      <c r="E88" s="37">
        <v>1</v>
      </c>
      <c r="F88" t="s">
        <v>131</v>
      </c>
    </row>
    <row r="89" spans="1:6" x14ac:dyDescent="0.25">
      <c r="B89" s="26">
        <f>B87+B88</f>
        <v>26900</v>
      </c>
      <c r="C89" t="s">
        <v>132</v>
      </c>
      <c r="F89">
        <f>16*100</f>
        <v>1600</v>
      </c>
    </row>
    <row r="90" spans="1:6" x14ac:dyDescent="0.25">
      <c r="B90" s="29"/>
    </row>
    <row r="92" spans="1:6" x14ac:dyDescent="0.25">
      <c r="A92" s="1" t="s">
        <v>133</v>
      </c>
    </row>
    <row r="93" spans="1:6" x14ac:dyDescent="0.25">
      <c r="A93" t="s">
        <v>134</v>
      </c>
      <c r="C93" s="8">
        <f>SUM((150000*0.04)*4)/12</f>
        <v>2000</v>
      </c>
      <c r="D93" t="s">
        <v>116</v>
      </c>
    </row>
    <row r="94" spans="1:6" x14ac:dyDescent="0.25">
      <c r="C94">
        <f>A15</f>
        <v>1500</v>
      </c>
      <c r="D94" t="s">
        <v>105</v>
      </c>
    </row>
    <row r="95" spans="1:6" x14ac:dyDescent="0.25">
      <c r="C95" s="26">
        <f>C93-C94</f>
        <v>500</v>
      </c>
      <c r="D95" t="s">
        <v>135</v>
      </c>
    </row>
    <row r="97" spans="1:5" x14ac:dyDescent="0.25">
      <c r="A97" s="1" t="s">
        <v>136</v>
      </c>
      <c r="E97" s="29"/>
    </row>
    <row r="98" spans="1:5" x14ac:dyDescent="0.25">
      <c r="A98" s="11" t="s">
        <v>76</v>
      </c>
      <c r="B98">
        <v>11900</v>
      </c>
      <c r="E98" s="29"/>
    </row>
    <row r="99" spans="1:5" x14ac:dyDescent="0.25">
      <c r="A99" s="34" t="s">
        <v>55</v>
      </c>
      <c r="B99">
        <v>700</v>
      </c>
      <c r="E99" s="29"/>
    </row>
    <row r="100" spans="1:5" x14ac:dyDescent="0.25">
      <c r="A100" s="34"/>
      <c r="B100" s="26">
        <f>B98+B99</f>
        <v>12600</v>
      </c>
      <c r="C100" t="s">
        <v>135</v>
      </c>
      <c r="E100" s="29"/>
    </row>
    <row r="102" spans="1:5" x14ac:dyDescent="0.25">
      <c r="A102" s="1" t="s">
        <v>137</v>
      </c>
    </row>
    <row r="103" spans="1:5" x14ac:dyDescent="0.25">
      <c r="A103" t="s">
        <v>28</v>
      </c>
      <c r="B103">
        <v>53000</v>
      </c>
    </row>
    <row r="104" spans="1:5" x14ac:dyDescent="0.25">
      <c r="A104" t="s">
        <v>138</v>
      </c>
      <c r="B104">
        <v>800</v>
      </c>
    </row>
    <row r="105" spans="1:5" x14ac:dyDescent="0.25">
      <c r="B105" s="26">
        <f>B103+B104</f>
        <v>53800</v>
      </c>
      <c r="C105" t="s">
        <v>135</v>
      </c>
    </row>
    <row r="107" spans="1:5" x14ac:dyDescent="0.25">
      <c r="A107" s="1" t="s">
        <v>139</v>
      </c>
    </row>
    <row r="108" spans="1:5" x14ac:dyDescent="0.25">
      <c r="A108" t="s">
        <v>140</v>
      </c>
      <c r="D108" s="8">
        <v>1500</v>
      </c>
      <c r="E108" t="s">
        <v>141</v>
      </c>
    </row>
  </sheetData>
  <mergeCells count="10">
    <mergeCell ref="B29:C29"/>
    <mergeCell ref="D50:E50"/>
    <mergeCell ref="G50:H50"/>
    <mergeCell ref="A2:B2"/>
    <mergeCell ref="B23:C23"/>
    <mergeCell ref="G23:H23"/>
    <mergeCell ref="D13:E13"/>
    <mergeCell ref="A18:B18"/>
    <mergeCell ref="D2:E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Trading P &amp; L Ac</vt:lpstr>
      <vt:lpstr>Balance Sheet</vt:lpstr>
      <vt:lpstr>Workings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Ryan</dc:creator>
  <cp:keywords/>
  <dc:description/>
  <cp:lastModifiedBy>Jason Ryan</cp:lastModifiedBy>
  <cp:revision/>
  <cp:lastPrinted>2021-01-10T16:46:51Z</cp:lastPrinted>
  <dcterms:created xsi:type="dcterms:W3CDTF">2018-11-05T16:45:56Z</dcterms:created>
  <dcterms:modified xsi:type="dcterms:W3CDTF">2021-01-10T16:47:44Z</dcterms:modified>
  <cp:category/>
  <cp:contentStatus/>
</cp:coreProperties>
</file>