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3"/>
  <workbookPr defaultThemeVersion="166925"/>
  <xr:revisionPtr revIDLastSave="707" documentId="11_E60897F41BE170836B02CE998F75CCDC64E183C8" xr6:coauthVersionLast="45" xr6:coauthVersionMax="45" xr10:uidLastSave="{6CB2EC66-4C5E-4617-9463-442036A6FCAB}"/>
  <bookViews>
    <workbookView xWindow="240" yWindow="105" windowWidth="14805" windowHeight="8010" firstSheet="1" xr2:uid="{00000000-000D-0000-FFFF-FFFF00000000}"/>
  </bookViews>
  <sheets>
    <sheet name="Part A" sheetId="1" r:id="rId1"/>
    <sheet name="Part B" sheetId="2" r:id="rId2"/>
    <sheet name="Part C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2" l="1"/>
  <c r="D15" i="2"/>
  <c r="E17" i="2"/>
  <c r="E19" i="2"/>
  <c r="Y66" i="1"/>
  <c r="V66" i="1"/>
  <c r="S66" i="1"/>
  <c r="P66" i="1"/>
  <c r="M66" i="1"/>
  <c r="J67" i="1"/>
  <c r="Y47" i="1"/>
  <c r="V47" i="1"/>
  <c r="S47" i="1"/>
  <c r="P47" i="1"/>
  <c r="M47" i="1"/>
  <c r="J47" i="1"/>
  <c r="Z46" i="1"/>
  <c r="W46" i="1"/>
  <c r="T46" i="1"/>
  <c r="Q46" i="1"/>
  <c r="N46" i="1"/>
  <c r="V45" i="1"/>
  <c r="S45" i="1"/>
  <c r="P45" i="1"/>
  <c r="M45" i="1"/>
  <c r="J45" i="1"/>
  <c r="V28" i="1"/>
  <c r="S28" i="1"/>
  <c r="P28" i="1"/>
  <c r="M28" i="1"/>
  <c r="J28" i="1"/>
  <c r="J29" i="1"/>
  <c r="Y6" i="1"/>
  <c r="V6" i="1"/>
  <c r="S6" i="1"/>
  <c r="P6" i="1"/>
  <c r="M12" i="1"/>
  <c r="M6" i="1"/>
  <c r="J6" i="1"/>
  <c r="D11" i="2" l="1"/>
  <c r="B23" i="1"/>
  <c r="B17" i="1"/>
  <c r="D14" i="1"/>
  <c r="E14" i="1"/>
  <c r="F14" i="1"/>
  <c r="G14" i="1"/>
  <c r="C14" i="1"/>
  <c r="J12" i="1"/>
  <c r="N5" i="1"/>
  <c r="Q5" i="1" s="1"/>
  <c r="T5" i="1" s="1"/>
  <c r="W5" i="1" s="1"/>
  <c r="Z5" i="1" s="1"/>
  <c r="D6" i="2" l="1"/>
  <c r="E8" i="2" s="1"/>
  <c r="E9" i="2" s="1"/>
  <c r="Y67" i="1"/>
  <c r="Y68" i="1" s="1"/>
  <c r="G19" i="1" s="1"/>
  <c r="V67" i="1"/>
  <c r="V68" i="1" s="1"/>
  <c r="F19" i="1" s="1"/>
  <c r="S67" i="1"/>
  <c r="S68" i="1" s="1"/>
  <c r="E19" i="1" s="1"/>
  <c r="P67" i="1"/>
  <c r="P68" i="1" s="1"/>
  <c r="D19" i="1" s="1"/>
  <c r="M67" i="1"/>
  <c r="M68" i="1" s="1"/>
  <c r="C19" i="1" s="1"/>
  <c r="J68" i="1"/>
  <c r="B19" i="1" s="1"/>
  <c r="L62" i="1"/>
  <c r="D18" i="1" l="1"/>
  <c r="E18" i="1"/>
  <c r="F18" i="1"/>
  <c r="G18" i="1"/>
  <c r="C18" i="1"/>
  <c r="M54" i="1"/>
  <c r="P51" i="1" s="1"/>
  <c r="P52" i="1" s="1"/>
  <c r="P54" i="1" s="1"/>
  <c r="Y48" i="1"/>
  <c r="G15" i="1" s="1"/>
  <c r="V48" i="1"/>
  <c r="F15" i="1" s="1"/>
  <c r="S48" i="1"/>
  <c r="E15" i="1" s="1"/>
  <c r="P48" i="1"/>
  <c r="D15" i="1" s="1"/>
  <c r="M48" i="1"/>
  <c r="C15" i="1" s="1"/>
  <c r="J48" i="1"/>
  <c r="B15" i="1" s="1"/>
  <c r="H14" i="1"/>
  <c r="H15" i="1"/>
  <c r="D12" i="2" s="1"/>
  <c r="H17" i="1"/>
  <c r="H18" i="1"/>
  <c r="H19" i="1"/>
  <c r="H23" i="1"/>
  <c r="J31" i="1"/>
  <c r="J32" i="1" s="1"/>
  <c r="K37" i="1" s="1"/>
  <c r="J33" i="1"/>
  <c r="C12" i="1" s="1"/>
  <c r="D13" i="1"/>
  <c r="J7" i="1"/>
  <c r="U53" i="1" l="1"/>
  <c r="U54" i="1" s="1"/>
  <c r="P55" i="1"/>
  <c r="D14" i="2" s="1"/>
  <c r="C16" i="1"/>
  <c r="C20" i="1" s="1"/>
  <c r="D16" i="1"/>
  <c r="E16" i="1"/>
  <c r="F16" i="1"/>
  <c r="G16" i="1"/>
  <c r="B16" i="1"/>
  <c r="J8" i="1"/>
  <c r="K17" i="1"/>
  <c r="J13" i="1"/>
  <c r="B5" i="1" s="1"/>
  <c r="M11" i="1"/>
  <c r="M7" i="1"/>
  <c r="M31" i="1"/>
  <c r="M32" i="1" s="1"/>
  <c r="K38" i="1" s="1"/>
  <c r="M29" i="1"/>
  <c r="E13" i="1" s="1"/>
  <c r="P31" i="1"/>
  <c r="P32" i="1" s="1"/>
  <c r="K39" i="1" s="1"/>
  <c r="P29" i="1"/>
  <c r="F13" i="1" s="1"/>
  <c r="S31" i="1"/>
  <c r="S32" i="1" s="1"/>
  <c r="K40" i="1" s="1"/>
  <c r="S29" i="1"/>
  <c r="G13" i="1" s="1"/>
  <c r="V31" i="1"/>
  <c r="V32" i="1" s="1"/>
  <c r="K41" i="1" s="1"/>
  <c r="V29" i="1"/>
  <c r="Y11" i="1"/>
  <c r="Y7" i="1"/>
  <c r="V11" i="1"/>
  <c r="V7" i="1"/>
  <c r="S11" i="1"/>
  <c r="S7" i="1"/>
  <c r="P11" i="1"/>
  <c r="P7" i="1"/>
  <c r="H16" i="1" l="1"/>
  <c r="D13" i="2" s="1"/>
  <c r="E15" i="2" s="1"/>
  <c r="E16" i="2" s="1"/>
  <c r="B20" i="1"/>
  <c r="H13" i="1"/>
  <c r="K42" i="1"/>
  <c r="E18" i="2" s="1"/>
  <c r="E20" i="2" s="1"/>
  <c r="M8" i="1"/>
  <c r="B8" i="1"/>
  <c r="B22" i="1" s="1"/>
  <c r="C6" i="1"/>
  <c r="J9" i="1"/>
  <c r="D7" i="1" s="1"/>
  <c r="V33" i="1"/>
  <c r="G12" i="1" s="1"/>
  <c r="G20" i="1" s="1"/>
  <c r="S33" i="1"/>
  <c r="F12" i="1" s="1"/>
  <c r="F20" i="1" s="1"/>
  <c r="P33" i="1"/>
  <c r="E12" i="1" s="1"/>
  <c r="E20" i="1" s="1"/>
  <c r="M33" i="1"/>
  <c r="Y8" i="1"/>
  <c r="Y9" i="1" s="1"/>
  <c r="Y12" i="1"/>
  <c r="V8" i="1"/>
  <c r="V12" i="1"/>
  <c r="S8" i="1"/>
  <c r="S12" i="1"/>
  <c r="P8" i="1"/>
  <c r="P12" i="1"/>
  <c r="B25" i="1" l="1"/>
  <c r="C24" i="1" s="1"/>
  <c r="D12" i="1"/>
  <c r="P13" i="1"/>
  <c r="D5" i="1" s="1"/>
  <c r="K19" i="1"/>
  <c r="P9" i="1"/>
  <c r="F7" i="1" s="1"/>
  <c r="E6" i="1"/>
  <c r="S13" i="1"/>
  <c r="E5" i="1" s="1"/>
  <c r="K20" i="1"/>
  <c r="S9" i="1"/>
  <c r="G7" i="1" s="1"/>
  <c r="F6" i="1"/>
  <c r="V13" i="1"/>
  <c r="F5" i="1" s="1"/>
  <c r="F8" i="1" s="1"/>
  <c r="F22" i="1" s="1"/>
  <c r="K21" i="1"/>
  <c r="V9" i="1"/>
  <c r="G6" i="1"/>
  <c r="Y13" i="1"/>
  <c r="G5" i="1" s="1"/>
  <c r="G8" i="1" s="1"/>
  <c r="G22" i="1" s="1"/>
  <c r="K22" i="1"/>
  <c r="K18" i="1"/>
  <c r="K23" i="1" s="1"/>
  <c r="M13" i="1"/>
  <c r="C5" i="1" s="1"/>
  <c r="D6" i="1"/>
  <c r="H6" i="1" s="1"/>
  <c r="M9" i="1"/>
  <c r="E7" i="1" s="1"/>
  <c r="H7" i="1" s="1"/>
  <c r="H12" i="1" l="1"/>
  <c r="D20" i="1"/>
  <c r="H20" i="1" s="1"/>
  <c r="C8" i="1"/>
  <c r="C22" i="1" s="1"/>
  <c r="H5" i="1"/>
  <c r="H8" i="1" s="1"/>
  <c r="E8" i="1"/>
  <c r="E22" i="1" s="1"/>
  <c r="D8" i="1"/>
  <c r="D22" i="1" s="1"/>
  <c r="C25" i="1" l="1"/>
  <c r="D24" i="1" s="1"/>
  <c r="D25" i="1" s="1"/>
  <c r="E24" i="1" s="1"/>
  <c r="E25" i="1" s="1"/>
  <c r="F24" i="1" s="1"/>
  <c r="F25" i="1" s="1"/>
  <c r="G24" i="1" s="1"/>
  <c r="G25" i="1" s="1"/>
  <c r="H22" i="1"/>
  <c r="H25" i="1" s="1"/>
</calcChain>
</file>

<file path=xl/sharedStrings.xml><?xml version="1.0" encoding="utf-8"?>
<sst xmlns="http://schemas.openxmlformats.org/spreadsheetml/2006/main" count="164" uniqueCount="87">
  <si>
    <t>(a) </t>
  </si>
  <si>
    <t>Prepare a cash budget for six months July to December 2016.</t>
  </si>
  <si>
    <t>Workings</t>
  </si>
  <si>
    <t>March</t>
  </si>
  <si>
    <t>April</t>
  </si>
  <si>
    <t xml:space="preserve">May </t>
  </si>
  <si>
    <t>June</t>
  </si>
  <si>
    <t>July</t>
  </si>
  <si>
    <t>August</t>
  </si>
  <si>
    <t>Total</t>
  </si>
  <si>
    <t>Receipts</t>
  </si>
  <si>
    <t>May</t>
  </si>
  <si>
    <t>Cash</t>
  </si>
  <si>
    <t>* 20%</t>
  </si>
  <si>
    <t>Credit 1</t>
  </si>
  <si>
    <t>Credit 2</t>
  </si>
  <si>
    <t>* 50%</t>
  </si>
  <si>
    <t>*50%</t>
  </si>
  <si>
    <t>Debtor</t>
  </si>
  <si>
    <t>Debtors</t>
  </si>
  <si>
    <t>Payments</t>
  </si>
  <si>
    <t>Purchases</t>
  </si>
  <si>
    <t>*5%</t>
  </si>
  <si>
    <t>* 5%</t>
  </si>
  <si>
    <t>Discout Allowed</t>
  </si>
  <si>
    <t>Discount Allowed</t>
  </si>
  <si>
    <t>Wages</t>
  </si>
  <si>
    <t>V OH</t>
  </si>
  <si>
    <t>Discount Allowed (Expense)</t>
  </si>
  <si>
    <t>F OH</t>
  </si>
  <si>
    <t>Equiptment</t>
  </si>
  <si>
    <t>Loan</t>
  </si>
  <si>
    <t>Interest</t>
  </si>
  <si>
    <t>September</t>
  </si>
  <si>
    <t>October</t>
  </si>
  <si>
    <t>November</t>
  </si>
  <si>
    <t>Net Cash</t>
  </si>
  <si>
    <t>December</t>
  </si>
  <si>
    <t>Op Bal</t>
  </si>
  <si>
    <t>Cl Bal</t>
  </si>
  <si>
    <t>* 2%</t>
  </si>
  <si>
    <t>Discout Received</t>
  </si>
  <si>
    <t>Discount Received (Income)</t>
  </si>
  <si>
    <t>Variable OH</t>
  </si>
  <si>
    <t>/ 100</t>
  </si>
  <si>
    <t>* 10</t>
  </si>
  <si>
    <t>Fixed OH (Less Depreciation)</t>
  </si>
  <si>
    <t>/ 12</t>
  </si>
  <si>
    <t>Economic Life</t>
  </si>
  <si>
    <t>Per Per Month</t>
  </si>
  <si>
    <t>Fixed OH</t>
  </si>
  <si>
    <t>Less Dep</t>
  </si>
  <si>
    <t>* 6</t>
  </si>
  <si>
    <t>Exp</t>
  </si>
  <si>
    <t>Loan Repayment and Interest</t>
  </si>
  <si>
    <t>Loan Repayment</t>
  </si>
  <si>
    <t>per month</t>
  </si>
  <si>
    <t>Sept</t>
  </si>
  <si>
    <t>Oct</t>
  </si>
  <si>
    <t>Nov</t>
  </si>
  <si>
    <t>Dec</t>
  </si>
  <si>
    <t>* 6%</t>
  </si>
  <si>
    <t>/12</t>
  </si>
  <si>
    <t>(b)</t>
  </si>
  <si>
    <t xml:space="preserve">Prepare a budgeted profit and loss account for the six months ended 31/12/2016. </t>
  </si>
  <si>
    <t>Sales</t>
  </si>
  <si>
    <t>Less cost of Sales</t>
  </si>
  <si>
    <t>Op Stock</t>
  </si>
  <si>
    <t>Add Purchases</t>
  </si>
  <si>
    <t>Less Cl Stock</t>
  </si>
  <si>
    <t>Goods Available for Resale</t>
  </si>
  <si>
    <t>Less Expenses</t>
  </si>
  <si>
    <t>Dep</t>
  </si>
  <si>
    <t>3285000*20%*5%</t>
  </si>
  <si>
    <t>Operating Profit</t>
  </si>
  <si>
    <t>Add Discoutn Received</t>
  </si>
  <si>
    <t>* 20% * 5%</t>
  </si>
  <si>
    <t>Less Interest</t>
  </si>
  <si>
    <t>Net Profit</t>
  </si>
  <si>
    <t xml:space="preserve">(c) </t>
  </si>
  <si>
    <t>Explain what is meant by ‘Master Budget’</t>
  </si>
  <si>
    <t>Is a summary of all the other budgets (1) and provides an overview of the operations</t>
  </si>
  <si>
    <t xml:space="preserve"> of the company for the planned period (1)</t>
  </si>
  <si>
    <t>Components of a Master Budget</t>
  </si>
  <si>
    <t>budgeted manufacturing account</t>
  </si>
  <si>
    <t>budgeted trading account and profit and loss account</t>
  </si>
  <si>
    <t>Budgeted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</si>
</sst>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2" borderId="4" xfId="0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6" xfId="0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8"/>
  <sheetViews>
    <sheetView tabSelected="1" workbookViewId="0">
      <selection activeCell="P62" sqref="P62"/>
    </sheetView>
  </sheetViews>
  <sheetFormatPr defaultRowHeight="15"/>
  <sheetData>
    <row r="1" spans="1:26">
      <c r="A1" s="2" t="s">
        <v>0</v>
      </c>
      <c r="B1" s="3" t="s">
        <v>1</v>
      </c>
      <c r="J1" s="3" t="s">
        <v>2</v>
      </c>
    </row>
    <row r="3" spans="1:26"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J3" s="16" t="s">
        <v>10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8"/>
    </row>
    <row r="4" spans="1:26">
      <c r="A4" s="4" t="s">
        <v>10</v>
      </c>
      <c r="J4" s="19" t="s">
        <v>3</v>
      </c>
      <c r="K4" s="19"/>
      <c r="M4" s="19" t="s">
        <v>4</v>
      </c>
      <c r="N4" s="19"/>
      <c r="P4" s="19" t="s">
        <v>11</v>
      </c>
      <c r="Q4" s="19"/>
      <c r="S4" s="19" t="s">
        <v>6</v>
      </c>
      <c r="T4" s="19"/>
      <c r="V4" s="19" t="s">
        <v>7</v>
      </c>
      <c r="W4" s="19"/>
      <c r="Y4" s="19" t="s">
        <v>8</v>
      </c>
      <c r="Z4" s="19"/>
    </row>
    <row r="5" spans="1:26">
      <c r="A5" t="s">
        <v>12</v>
      </c>
      <c r="B5">
        <f>J13</f>
        <v>81700</v>
      </c>
      <c r="C5">
        <f>M13</f>
        <v>83600</v>
      </c>
      <c r="D5">
        <f>P13</f>
        <v>108300</v>
      </c>
      <c r="E5">
        <f>S13</f>
        <v>112100</v>
      </c>
      <c r="F5">
        <f>V13</f>
        <v>118750</v>
      </c>
      <c r="G5">
        <f>Y13</f>
        <v>119700</v>
      </c>
      <c r="H5">
        <f>SUM(B5:G5)</f>
        <v>624150</v>
      </c>
      <c r="J5">
        <v>430000</v>
      </c>
      <c r="K5" t="s">
        <v>13</v>
      </c>
      <c r="M5">
        <v>440000</v>
      </c>
      <c r="N5" t="str">
        <f>K5</f>
        <v>* 20%</v>
      </c>
      <c r="P5">
        <v>570000</v>
      </c>
      <c r="Q5" t="str">
        <f>N5</f>
        <v>* 20%</v>
      </c>
      <c r="S5">
        <v>590000</v>
      </c>
      <c r="T5" t="str">
        <f>Q5</f>
        <v>* 20%</v>
      </c>
      <c r="V5">
        <v>625000</v>
      </c>
      <c r="W5" t="str">
        <f>T5</f>
        <v>* 20%</v>
      </c>
      <c r="Y5">
        <v>630000</v>
      </c>
      <c r="Z5" t="str">
        <f>W5</f>
        <v>* 20%</v>
      </c>
    </row>
    <row r="6" spans="1:26">
      <c r="A6" t="s">
        <v>14</v>
      </c>
      <c r="C6">
        <f>J8</f>
        <v>172000</v>
      </c>
      <c r="D6">
        <f>M8</f>
        <v>176000</v>
      </c>
      <c r="E6">
        <f>P8</f>
        <v>228000</v>
      </c>
      <c r="F6">
        <f>S8</f>
        <v>236000</v>
      </c>
      <c r="G6">
        <f>V8</f>
        <v>250000</v>
      </c>
      <c r="H6">
        <f t="shared" ref="H6:H7" si="0">SUM(B6:G6)</f>
        <v>1062000</v>
      </c>
      <c r="J6">
        <f>430000*0.2</f>
        <v>86000</v>
      </c>
      <c r="M6">
        <f>440000*0.2</f>
        <v>88000</v>
      </c>
      <c r="P6">
        <f>570000*0.2</f>
        <v>114000</v>
      </c>
      <c r="S6">
        <f>590000*0.2</f>
        <v>118000</v>
      </c>
      <c r="V6">
        <f>625000*0.2</f>
        <v>125000</v>
      </c>
      <c r="Y6">
        <f>630000*0.2</f>
        <v>126000</v>
      </c>
    </row>
    <row r="7" spans="1:26">
      <c r="A7" t="s">
        <v>15</v>
      </c>
      <c r="D7">
        <f>J9</f>
        <v>172000</v>
      </c>
      <c r="E7">
        <f>M9</f>
        <v>176000</v>
      </c>
      <c r="F7">
        <f>P9</f>
        <v>228000</v>
      </c>
      <c r="G7">
        <f>S9</f>
        <v>236000</v>
      </c>
      <c r="H7">
        <f t="shared" si="0"/>
        <v>812000</v>
      </c>
      <c r="J7" s="5">
        <f>J5-J6</f>
        <v>344000</v>
      </c>
      <c r="K7" t="s">
        <v>16</v>
      </c>
      <c r="M7" s="5">
        <f>M5-M6</f>
        <v>352000</v>
      </c>
      <c r="N7" t="s">
        <v>17</v>
      </c>
      <c r="P7" s="5">
        <f>P5-P6</f>
        <v>456000</v>
      </c>
      <c r="Q7" t="s">
        <v>17</v>
      </c>
      <c r="S7" s="5">
        <f>S5-S6</f>
        <v>472000</v>
      </c>
      <c r="T7" t="s">
        <v>17</v>
      </c>
      <c r="V7" s="5">
        <f>V5-V6</f>
        <v>500000</v>
      </c>
      <c r="W7" t="s">
        <v>17</v>
      </c>
      <c r="Y7" s="5">
        <f>Y5-Y6</f>
        <v>504000</v>
      </c>
      <c r="Z7" t="s">
        <v>17</v>
      </c>
    </row>
    <row r="8" spans="1:26">
      <c r="B8" s="6">
        <f>SUM(B5:B7)</f>
        <v>81700</v>
      </c>
      <c r="C8" s="6">
        <f t="shared" ref="C8:H8" si="1">SUM(C5:C7)</f>
        <v>255600</v>
      </c>
      <c r="D8" s="6">
        <f t="shared" si="1"/>
        <v>456300</v>
      </c>
      <c r="E8" s="6">
        <f t="shared" si="1"/>
        <v>516100</v>
      </c>
      <c r="F8" s="6">
        <f t="shared" si="1"/>
        <v>582750</v>
      </c>
      <c r="G8" s="6">
        <f t="shared" si="1"/>
        <v>605700</v>
      </c>
      <c r="H8" s="6">
        <f t="shared" si="1"/>
        <v>2498150</v>
      </c>
      <c r="J8">
        <f>J7*0.5</f>
        <v>172000</v>
      </c>
      <c r="M8">
        <f>M7*0.5</f>
        <v>176000</v>
      </c>
      <c r="P8">
        <f>P7*0.5</f>
        <v>228000</v>
      </c>
      <c r="S8">
        <f>S7*0.5</f>
        <v>236000</v>
      </c>
      <c r="V8">
        <f>V7*0.5</f>
        <v>250000</v>
      </c>
      <c r="Y8">
        <f>Y7*0.5</f>
        <v>252000</v>
      </c>
      <c r="Z8" t="s">
        <v>18</v>
      </c>
    </row>
    <row r="9" spans="1:26">
      <c r="J9" s="5">
        <f>J7-J8</f>
        <v>172000</v>
      </c>
      <c r="M9" s="5">
        <f>M7-M8</f>
        <v>176000</v>
      </c>
      <c r="P9" s="5">
        <f>P7-P8</f>
        <v>228000</v>
      </c>
      <c r="S9" s="5">
        <f>S7-S8</f>
        <v>236000</v>
      </c>
      <c r="V9" s="7">
        <f>V7-V8</f>
        <v>250000</v>
      </c>
      <c r="W9" t="s">
        <v>19</v>
      </c>
      <c r="Y9" s="5">
        <f>Y7-Y8</f>
        <v>252000</v>
      </c>
      <c r="Z9" t="s">
        <v>18</v>
      </c>
    </row>
    <row r="10" spans="1:26">
      <c r="A10" s="3" t="s">
        <v>20</v>
      </c>
    </row>
    <row r="11" spans="1:26">
      <c r="A11" t="s">
        <v>21</v>
      </c>
      <c r="J11">
        <v>86000</v>
      </c>
      <c r="K11" t="s">
        <v>22</v>
      </c>
      <c r="M11">
        <f>M6</f>
        <v>88000</v>
      </c>
      <c r="N11" t="s">
        <v>23</v>
      </c>
      <c r="P11">
        <f>P6</f>
        <v>114000</v>
      </c>
      <c r="Q11" t="s">
        <v>23</v>
      </c>
      <c r="S11">
        <f>S6</f>
        <v>118000</v>
      </c>
      <c r="T11" t="s">
        <v>23</v>
      </c>
      <c r="V11">
        <f>V6</f>
        <v>125000</v>
      </c>
      <c r="W11" t="s">
        <v>23</v>
      </c>
      <c r="Y11">
        <f>Y6</f>
        <v>126000</v>
      </c>
      <c r="Z11" t="s">
        <v>23</v>
      </c>
    </row>
    <row r="12" spans="1:26">
      <c r="A12" t="s">
        <v>14</v>
      </c>
      <c r="C12">
        <f>J33</f>
        <v>88200</v>
      </c>
      <c r="D12">
        <f>M33</f>
        <v>102900</v>
      </c>
      <c r="E12">
        <f>P33</f>
        <v>122500</v>
      </c>
      <c r="F12">
        <f>S33</f>
        <v>127400</v>
      </c>
      <c r="G12">
        <f>V33</f>
        <v>161700</v>
      </c>
      <c r="H12">
        <f>SUM(B12:G12)</f>
        <v>602700</v>
      </c>
      <c r="J12">
        <f>J11*0.05</f>
        <v>4300</v>
      </c>
      <c r="K12" t="s">
        <v>24</v>
      </c>
      <c r="M12">
        <f>M11*0.05</f>
        <v>4400</v>
      </c>
      <c r="N12" t="s">
        <v>25</v>
      </c>
      <c r="P12">
        <f>P11*0.05</f>
        <v>5700</v>
      </c>
      <c r="Q12" t="s">
        <v>25</v>
      </c>
      <c r="S12">
        <f>S11*0.05</f>
        <v>5900</v>
      </c>
      <c r="T12" t="s">
        <v>25</v>
      </c>
      <c r="V12">
        <f>V11*0.05</f>
        <v>6250</v>
      </c>
      <c r="W12" t="s">
        <v>25</v>
      </c>
      <c r="Y12">
        <f>Y11*0.05</f>
        <v>6300</v>
      </c>
      <c r="Z12" t="s">
        <v>25</v>
      </c>
    </row>
    <row r="13" spans="1:26">
      <c r="A13" t="s">
        <v>15</v>
      </c>
      <c r="D13">
        <f>J29</f>
        <v>90000</v>
      </c>
      <c r="E13">
        <f>M29</f>
        <v>105000</v>
      </c>
      <c r="F13">
        <f>P29</f>
        <v>125000</v>
      </c>
      <c r="G13">
        <f>S29</f>
        <v>130000</v>
      </c>
      <c r="H13">
        <f t="shared" ref="H13:H30" si="2">SUM(B13:G13)</f>
        <v>450000</v>
      </c>
      <c r="J13" s="6">
        <f>J11-J12</f>
        <v>81700</v>
      </c>
      <c r="M13" s="6">
        <f>M11-M12</f>
        <v>83600</v>
      </c>
      <c r="P13" s="6">
        <f>P11-P12</f>
        <v>108300</v>
      </c>
      <c r="S13" s="6">
        <f>S11-S12</f>
        <v>112100</v>
      </c>
      <c r="V13" s="6">
        <f>V11-V12</f>
        <v>118750</v>
      </c>
      <c r="Y13" s="6">
        <f>Y11-Y12</f>
        <v>119700</v>
      </c>
    </row>
    <row r="14" spans="1:26">
      <c r="A14" t="s">
        <v>26</v>
      </c>
      <c r="B14">
        <v>50000</v>
      </c>
      <c r="C14">
        <f>B14</f>
        <v>50000</v>
      </c>
      <c r="D14">
        <f t="shared" ref="D14:G14" si="3">C14</f>
        <v>50000</v>
      </c>
      <c r="E14">
        <f t="shared" si="3"/>
        <v>50000</v>
      </c>
      <c r="F14">
        <f t="shared" si="3"/>
        <v>50000</v>
      </c>
      <c r="G14">
        <f t="shared" si="3"/>
        <v>50000</v>
      </c>
      <c r="H14">
        <f t="shared" si="2"/>
        <v>300000</v>
      </c>
    </row>
    <row r="15" spans="1:26">
      <c r="A15" t="s">
        <v>27</v>
      </c>
      <c r="B15">
        <f>J48</f>
        <v>43000</v>
      </c>
      <c r="C15">
        <f>M48</f>
        <v>44000</v>
      </c>
      <c r="D15">
        <f>P48</f>
        <v>57000</v>
      </c>
      <c r="E15">
        <f>S48</f>
        <v>59000</v>
      </c>
      <c r="F15">
        <f>V48</f>
        <v>62500</v>
      </c>
      <c r="G15">
        <f>Y48</f>
        <v>63000</v>
      </c>
      <c r="H15">
        <f t="shared" si="2"/>
        <v>328500</v>
      </c>
      <c r="J15" s="16" t="s">
        <v>28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8"/>
    </row>
    <row r="16" spans="1:26">
      <c r="A16" t="s">
        <v>29</v>
      </c>
      <c r="B16">
        <f>$U$54</f>
        <v>69200</v>
      </c>
      <c r="C16">
        <f t="shared" ref="C16:G16" si="4">$U$54</f>
        <v>69200</v>
      </c>
      <c r="D16">
        <f t="shared" si="4"/>
        <v>69200</v>
      </c>
      <c r="E16">
        <f t="shared" si="4"/>
        <v>69200</v>
      </c>
      <c r="F16">
        <f t="shared" si="4"/>
        <v>69200</v>
      </c>
      <c r="G16">
        <f t="shared" si="4"/>
        <v>69200</v>
      </c>
      <c r="H16">
        <f t="shared" si="2"/>
        <v>415200</v>
      </c>
    </row>
    <row r="17" spans="1:26">
      <c r="A17" t="s">
        <v>30</v>
      </c>
      <c r="B17">
        <f>M51</f>
        <v>48000</v>
      </c>
      <c r="H17">
        <f t="shared" si="2"/>
        <v>48000</v>
      </c>
      <c r="J17" t="s">
        <v>7</v>
      </c>
      <c r="K17">
        <f>J12</f>
        <v>4300</v>
      </c>
    </row>
    <row r="18" spans="1:26">
      <c r="A18" t="s">
        <v>31</v>
      </c>
      <c r="C18">
        <f>$L$62</f>
        <v>2000</v>
      </c>
      <c r="D18">
        <f t="shared" ref="D18:G18" si="5">$L$62</f>
        <v>2000</v>
      </c>
      <c r="E18">
        <f t="shared" si="5"/>
        <v>2000</v>
      </c>
      <c r="F18">
        <f t="shared" si="5"/>
        <v>2000</v>
      </c>
      <c r="G18">
        <f t="shared" si="5"/>
        <v>2000</v>
      </c>
      <c r="H18">
        <f t="shared" si="2"/>
        <v>10000</v>
      </c>
      <c r="J18" t="s">
        <v>8</v>
      </c>
      <c r="K18">
        <f>M12</f>
        <v>4400</v>
      </c>
    </row>
    <row r="19" spans="1:26">
      <c r="A19" t="s">
        <v>32</v>
      </c>
      <c r="B19">
        <f>J68</f>
        <v>200</v>
      </c>
      <c r="C19">
        <f>M68</f>
        <v>190</v>
      </c>
      <c r="D19">
        <f>P68</f>
        <v>180</v>
      </c>
      <c r="E19">
        <f>S68</f>
        <v>170</v>
      </c>
      <c r="F19">
        <f>V68</f>
        <v>160</v>
      </c>
      <c r="G19">
        <f>Y68</f>
        <v>150</v>
      </c>
      <c r="H19">
        <f t="shared" si="2"/>
        <v>1050</v>
      </c>
      <c r="J19" t="s">
        <v>33</v>
      </c>
      <c r="K19">
        <f>P12</f>
        <v>5700</v>
      </c>
    </row>
    <row r="20" spans="1:26">
      <c r="B20" s="6">
        <f>SUM(B12:B19)</f>
        <v>210400</v>
      </c>
      <c r="C20" s="6">
        <f t="shared" ref="C20:G20" si="6">SUM(C12:C19)</f>
        <v>253590</v>
      </c>
      <c r="D20" s="6">
        <f t="shared" si="6"/>
        <v>371280</v>
      </c>
      <c r="E20" s="6">
        <f t="shared" si="6"/>
        <v>407870</v>
      </c>
      <c r="F20" s="6">
        <f t="shared" si="6"/>
        <v>436260</v>
      </c>
      <c r="G20" s="6">
        <f t="shared" si="6"/>
        <v>476050</v>
      </c>
      <c r="H20" s="6">
        <f t="shared" si="2"/>
        <v>2155450</v>
      </c>
      <c r="J20" t="s">
        <v>34</v>
      </c>
      <c r="K20">
        <f>S12</f>
        <v>5900</v>
      </c>
    </row>
    <row r="21" spans="1:26">
      <c r="J21" t="s">
        <v>35</v>
      </c>
      <c r="K21">
        <f>V12</f>
        <v>6250</v>
      </c>
    </row>
    <row r="22" spans="1:26">
      <c r="A22" t="s">
        <v>36</v>
      </c>
      <c r="B22">
        <f>B8-B20</f>
        <v>-128700</v>
      </c>
      <c r="C22">
        <f t="shared" ref="C22:G22" si="7">C8-C20</f>
        <v>2010</v>
      </c>
      <c r="D22">
        <f t="shared" si="7"/>
        <v>85020</v>
      </c>
      <c r="E22">
        <f t="shared" si="7"/>
        <v>108230</v>
      </c>
      <c r="F22">
        <f t="shared" si="7"/>
        <v>146490</v>
      </c>
      <c r="G22">
        <f t="shared" si="7"/>
        <v>129650</v>
      </c>
      <c r="H22">
        <f t="shared" si="2"/>
        <v>342700</v>
      </c>
      <c r="J22" t="s">
        <v>37</v>
      </c>
      <c r="K22">
        <f>Y12</f>
        <v>6300</v>
      </c>
    </row>
    <row r="23" spans="1:26">
      <c r="A23" t="s">
        <v>31</v>
      </c>
      <c r="B23">
        <f>J61</f>
        <v>40000</v>
      </c>
      <c r="H23">
        <f t="shared" si="2"/>
        <v>40000</v>
      </c>
      <c r="K23" s="6">
        <f>SUM(K17:K22)</f>
        <v>32850</v>
      </c>
    </row>
    <row r="24" spans="1:26">
      <c r="A24" t="s">
        <v>38</v>
      </c>
      <c r="C24">
        <f>B25</f>
        <v>-88700</v>
      </c>
      <c r="D24">
        <f>C25</f>
        <v>-86690</v>
      </c>
      <c r="E24">
        <f>D25</f>
        <v>-1670</v>
      </c>
      <c r="F24">
        <f>E25</f>
        <v>106560</v>
      </c>
      <c r="G24">
        <f>F25</f>
        <v>253050</v>
      </c>
    </row>
    <row r="25" spans="1:26">
      <c r="A25" t="s">
        <v>39</v>
      </c>
      <c r="B25" s="6">
        <f>B22+B23</f>
        <v>-88700</v>
      </c>
      <c r="C25" s="6">
        <f>C22+C24</f>
        <v>-86690</v>
      </c>
      <c r="D25" s="6">
        <f>D22+D24</f>
        <v>-1670</v>
      </c>
      <c r="E25" s="6">
        <f>E22+E24</f>
        <v>106560</v>
      </c>
      <c r="F25" s="6">
        <f>F22+F24</f>
        <v>253050</v>
      </c>
      <c r="G25" s="6">
        <f>G22+G24</f>
        <v>382700</v>
      </c>
      <c r="H25" s="6">
        <f>H22+H23</f>
        <v>382700</v>
      </c>
      <c r="J25" s="16" t="s">
        <v>21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8"/>
    </row>
    <row r="26" spans="1:26">
      <c r="J26" s="19" t="s">
        <v>3</v>
      </c>
      <c r="K26" s="19"/>
      <c r="M26" s="19" t="s">
        <v>4</v>
      </c>
      <c r="N26" s="19"/>
      <c r="P26" s="19" t="s">
        <v>11</v>
      </c>
      <c r="Q26" s="19"/>
      <c r="S26" s="19" t="s">
        <v>6</v>
      </c>
      <c r="T26" s="19"/>
      <c r="V26" s="19" t="s">
        <v>7</v>
      </c>
      <c r="W26" s="19"/>
      <c r="Y26" s="19"/>
      <c r="Z26" s="19"/>
    </row>
    <row r="27" spans="1:26">
      <c r="J27">
        <v>180000</v>
      </c>
      <c r="K27" t="s">
        <v>16</v>
      </c>
      <c r="M27">
        <v>210000</v>
      </c>
      <c r="N27" t="s">
        <v>16</v>
      </c>
      <c r="P27">
        <v>250000</v>
      </c>
      <c r="Q27" t="s">
        <v>16</v>
      </c>
      <c r="S27">
        <v>260000</v>
      </c>
      <c r="T27" t="s">
        <v>16</v>
      </c>
      <c r="V27">
        <v>330000</v>
      </c>
      <c r="W27" t="s">
        <v>16</v>
      </c>
    </row>
    <row r="28" spans="1:26">
      <c r="J28">
        <f>J27*0.5</f>
        <v>90000</v>
      </c>
      <c r="M28">
        <f>210000*0.5</f>
        <v>105000</v>
      </c>
      <c r="P28">
        <f>250000*0.5</f>
        <v>125000</v>
      </c>
      <c r="S28">
        <f>260000*0.5</f>
        <v>130000</v>
      </c>
      <c r="V28">
        <f>330000*0.5</f>
        <v>165000</v>
      </c>
    </row>
    <row r="29" spans="1:26">
      <c r="J29" s="5">
        <f>J27-J28</f>
        <v>90000</v>
      </c>
      <c r="K29" t="s">
        <v>15</v>
      </c>
      <c r="M29" s="5">
        <f>M27-M28</f>
        <v>105000</v>
      </c>
      <c r="N29" t="s">
        <v>15</v>
      </c>
      <c r="P29" s="5">
        <f>P27-P28</f>
        <v>125000</v>
      </c>
      <c r="Q29" t="s">
        <v>15</v>
      </c>
      <c r="S29" s="5">
        <f>S27-S28</f>
        <v>130000</v>
      </c>
      <c r="T29" t="s">
        <v>15</v>
      </c>
      <c r="V29" s="5">
        <f>V27-V28</f>
        <v>165000</v>
      </c>
      <c r="W29" t="s">
        <v>15</v>
      </c>
    </row>
    <row r="31" spans="1:26">
      <c r="J31">
        <f>J28</f>
        <v>90000</v>
      </c>
      <c r="K31" t="s">
        <v>40</v>
      </c>
      <c r="M31">
        <f>M28</f>
        <v>105000</v>
      </c>
      <c r="N31" t="s">
        <v>40</v>
      </c>
      <c r="P31">
        <f>P28</f>
        <v>125000</v>
      </c>
      <c r="Q31" t="s">
        <v>40</v>
      </c>
      <c r="S31">
        <f>S28</f>
        <v>130000</v>
      </c>
      <c r="T31" t="s">
        <v>40</v>
      </c>
      <c r="V31">
        <f>V28</f>
        <v>165000</v>
      </c>
      <c r="W31" t="s">
        <v>40</v>
      </c>
    </row>
    <row r="32" spans="1:26">
      <c r="J32">
        <f>J31*0.02</f>
        <v>1800</v>
      </c>
      <c r="K32" t="s">
        <v>41</v>
      </c>
      <c r="M32">
        <f>M31*0.02</f>
        <v>2100</v>
      </c>
      <c r="N32" t="s">
        <v>41</v>
      </c>
      <c r="P32">
        <f>P31*0.02</f>
        <v>2500</v>
      </c>
      <c r="Q32" t="s">
        <v>41</v>
      </c>
      <c r="S32">
        <f>S31*0.02</f>
        <v>2600</v>
      </c>
      <c r="T32" t="s">
        <v>41</v>
      </c>
      <c r="V32">
        <f>V31*0.02</f>
        <v>3300</v>
      </c>
      <c r="W32" t="s">
        <v>41</v>
      </c>
    </row>
    <row r="33" spans="10:26">
      <c r="J33" s="6">
        <f>J31-J32</f>
        <v>88200</v>
      </c>
      <c r="M33" s="6">
        <f>M31-M32</f>
        <v>102900</v>
      </c>
      <c r="P33" s="6">
        <f>P31-P32</f>
        <v>122500</v>
      </c>
      <c r="S33" s="6">
        <f>S31-S32</f>
        <v>127400</v>
      </c>
      <c r="V33" s="6">
        <f>V31-V32</f>
        <v>161700</v>
      </c>
    </row>
    <row r="35" spans="10:26">
      <c r="J35" s="16" t="s">
        <v>42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8"/>
    </row>
    <row r="37" spans="10:26">
      <c r="J37" t="s">
        <v>7</v>
      </c>
      <c r="K37">
        <f>J32</f>
        <v>1800</v>
      </c>
    </row>
    <row r="38" spans="10:26">
      <c r="J38" t="s">
        <v>8</v>
      </c>
      <c r="K38">
        <f>M32</f>
        <v>2100</v>
      </c>
    </row>
    <row r="39" spans="10:26">
      <c r="J39" t="s">
        <v>33</v>
      </c>
      <c r="K39">
        <f>P32</f>
        <v>2500</v>
      </c>
    </row>
    <row r="40" spans="10:26">
      <c r="J40" t="s">
        <v>34</v>
      </c>
      <c r="K40">
        <f>S32</f>
        <v>2600</v>
      </c>
    </row>
    <row r="41" spans="10:26">
      <c r="J41" t="s">
        <v>35</v>
      </c>
      <c r="K41">
        <f>V32</f>
        <v>3300</v>
      </c>
    </row>
    <row r="42" spans="10:26">
      <c r="K42" s="6">
        <f>SUM(K37:K41)</f>
        <v>12300</v>
      </c>
    </row>
    <row r="44" spans="10:26">
      <c r="J44" s="16" t="s">
        <v>43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8"/>
    </row>
    <row r="45" spans="10:26">
      <c r="J45" s="19" t="str">
        <f>J4</f>
        <v>March</v>
      </c>
      <c r="K45" s="19"/>
      <c r="M45" s="19" t="str">
        <f>M4</f>
        <v>April</v>
      </c>
      <c r="N45" s="19"/>
      <c r="P45" s="19" t="str">
        <f>P4</f>
        <v>May</v>
      </c>
      <c r="Q45" s="19"/>
      <c r="S45" s="19" t="str">
        <f>S4</f>
        <v>June</v>
      </c>
      <c r="T45" s="19"/>
      <c r="V45" s="19" t="str">
        <f>V4</f>
        <v>July</v>
      </c>
      <c r="W45" s="19"/>
      <c r="Y45" s="19" t="s">
        <v>8</v>
      </c>
      <c r="Z45" s="19"/>
    </row>
    <row r="46" spans="10:26">
      <c r="J46">
        <v>430000</v>
      </c>
      <c r="K46" t="s">
        <v>44</v>
      </c>
      <c r="M46">
        <v>440000</v>
      </c>
      <c r="N46" t="str">
        <f>K46</f>
        <v>/ 100</v>
      </c>
      <c r="P46">
        <v>570000</v>
      </c>
      <c r="Q46" t="str">
        <f>N46</f>
        <v>/ 100</v>
      </c>
      <c r="S46">
        <v>590000</v>
      </c>
      <c r="T46" t="str">
        <f>Q46</f>
        <v>/ 100</v>
      </c>
      <c r="V46">
        <v>625000</v>
      </c>
      <c r="W46" t="str">
        <f>T46</f>
        <v>/ 100</v>
      </c>
      <c r="Y46">
        <v>630000</v>
      </c>
      <c r="Z46" t="str">
        <f>W46</f>
        <v>/ 100</v>
      </c>
    </row>
    <row r="47" spans="10:26">
      <c r="J47">
        <f>J46/100</f>
        <v>4300</v>
      </c>
      <c r="K47" t="s">
        <v>45</v>
      </c>
      <c r="M47">
        <f>M46/100</f>
        <v>4400</v>
      </c>
      <c r="N47" t="s">
        <v>45</v>
      </c>
      <c r="P47">
        <f>P46/100</f>
        <v>5700</v>
      </c>
      <c r="Q47" t="s">
        <v>45</v>
      </c>
      <c r="S47">
        <f>S46/100</f>
        <v>5900</v>
      </c>
      <c r="T47" t="s">
        <v>45</v>
      </c>
      <c r="V47">
        <f>V46/100</f>
        <v>6250</v>
      </c>
      <c r="W47" t="s">
        <v>45</v>
      </c>
      <c r="Y47">
        <f>Y46/100</f>
        <v>6300</v>
      </c>
      <c r="Z47" t="s">
        <v>45</v>
      </c>
    </row>
    <row r="48" spans="10:26">
      <c r="J48">
        <f>J47*10</f>
        <v>43000</v>
      </c>
      <c r="M48">
        <f>M47*10</f>
        <v>44000</v>
      </c>
      <c r="P48">
        <f>P47*10</f>
        <v>57000</v>
      </c>
      <c r="S48">
        <f>S47*10</f>
        <v>59000</v>
      </c>
      <c r="V48">
        <f>V47*10</f>
        <v>62500</v>
      </c>
      <c r="Y48">
        <f>Y47*10</f>
        <v>63000</v>
      </c>
    </row>
    <row r="50" spans="10:26">
      <c r="J50" s="16" t="s">
        <v>46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8"/>
    </row>
    <row r="51" spans="10:26">
      <c r="K51" t="s">
        <v>30</v>
      </c>
      <c r="M51" s="8">
        <v>48000</v>
      </c>
      <c r="P51">
        <f>M54</f>
        <v>9600</v>
      </c>
      <c r="Q51" t="s">
        <v>47</v>
      </c>
    </row>
    <row r="52" spans="10:26">
      <c r="K52" t="s">
        <v>48</v>
      </c>
      <c r="M52" s="1">
        <v>5</v>
      </c>
      <c r="P52">
        <f>P51/12</f>
        <v>800</v>
      </c>
      <c r="Q52" t="s">
        <v>49</v>
      </c>
      <c r="T52" t="s">
        <v>50</v>
      </c>
      <c r="U52">
        <v>70000</v>
      </c>
    </row>
    <row r="53" spans="10:26">
      <c r="T53" t="s">
        <v>51</v>
      </c>
      <c r="U53">
        <f>P54</f>
        <v>800</v>
      </c>
    </row>
    <row r="54" spans="10:26">
      <c r="M54">
        <f>M51/5</f>
        <v>9600</v>
      </c>
      <c r="P54">
        <f>P52</f>
        <v>800</v>
      </c>
      <c r="Q54" t="s">
        <v>52</v>
      </c>
      <c r="U54" s="6">
        <f>U52-U53</f>
        <v>69200</v>
      </c>
    </row>
    <row r="55" spans="10:26">
      <c r="P55">
        <f>P54*6</f>
        <v>4800</v>
      </c>
      <c r="Q55" t="s">
        <v>53</v>
      </c>
    </row>
    <row r="57" spans="10:26">
      <c r="J57" s="16" t="s">
        <v>54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8"/>
    </row>
    <row r="59" spans="10:26">
      <c r="J59" s="10" t="s">
        <v>55</v>
      </c>
      <c r="P59" s="12"/>
    </row>
    <row r="61" spans="10:26">
      <c r="J61" s="8">
        <v>40000</v>
      </c>
    </row>
    <row r="62" spans="10:26">
      <c r="J62" s="1">
        <v>20</v>
      </c>
      <c r="L62">
        <f>J61/J62</f>
        <v>2000</v>
      </c>
      <c r="M62" t="s">
        <v>56</v>
      </c>
    </row>
    <row r="64" spans="10:26">
      <c r="J64" s="12" t="s">
        <v>32</v>
      </c>
    </row>
    <row r="65" spans="10:26">
      <c r="J65" s="19" t="s">
        <v>7</v>
      </c>
      <c r="K65" s="19"/>
      <c r="M65" s="19" t="s">
        <v>8</v>
      </c>
      <c r="N65" s="19"/>
      <c r="P65" s="19" t="s">
        <v>57</v>
      </c>
      <c r="Q65" s="19"/>
      <c r="S65" s="19" t="s">
        <v>58</v>
      </c>
      <c r="T65" s="19"/>
      <c r="V65" s="19" t="s">
        <v>59</v>
      </c>
      <c r="W65" s="19"/>
      <c r="Y65" s="19" t="s">
        <v>60</v>
      </c>
      <c r="Z65" s="19"/>
    </row>
    <row r="66" spans="10:26">
      <c r="J66">
        <v>40000</v>
      </c>
      <c r="K66" t="s">
        <v>61</v>
      </c>
      <c r="M66">
        <f>40000-2000</f>
        <v>38000</v>
      </c>
      <c r="N66" t="s">
        <v>61</v>
      </c>
      <c r="P66">
        <f>38000-2000</f>
        <v>36000</v>
      </c>
      <c r="Q66" t="s">
        <v>61</v>
      </c>
      <c r="S66">
        <f>36000-2000</f>
        <v>34000</v>
      </c>
      <c r="T66" t="s">
        <v>61</v>
      </c>
      <c r="V66">
        <f>34000-2000</f>
        <v>32000</v>
      </c>
      <c r="W66" t="s">
        <v>61</v>
      </c>
      <c r="Y66">
        <f>32000-2000</f>
        <v>30000</v>
      </c>
      <c r="Z66" t="s">
        <v>61</v>
      </c>
    </row>
    <row r="67" spans="10:26">
      <c r="J67">
        <f>40000*0.06</f>
        <v>2400</v>
      </c>
      <c r="K67" t="s">
        <v>47</v>
      </c>
      <c r="M67">
        <f>M66*6%</f>
        <v>2280</v>
      </c>
      <c r="N67" t="s">
        <v>62</v>
      </c>
      <c r="P67">
        <f>P66*6%</f>
        <v>2160</v>
      </c>
      <c r="Q67" t="s">
        <v>62</v>
      </c>
      <c r="S67">
        <f>S66*6%</f>
        <v>2040</v>
      </c>
      <c r="T67" t="s">
        <v>62</v>
      </c>
      <c r="V67">
        <f>V66*6%</f>
        <v>1920</v>
      </c>
      <c r="W67" t="s">
        <v>62</v>
      </c>
      <c r="Y67">
        <f>Y66*6%</f>
        <v>1800</v>
      </c>
      <c r="Z67" t="s">
        <v>62</v>
      </c>
    </row>
    <row r="68" spans="10:26">
      <c r="J68">
        <f>J67/12</f>
        <v>200</v>
      </c>
      <c r="M68">
        <f>M67/12</f>
        <v>190</v>
      </c>
      <c r="P68">
        <f>P67/12</f>
        <v>180</v>
      </c>
      <c r="S68">
        <f>S67/12</f>
        <v>170</v>
      </c>
      <c r="V68">
        <f>V67/12</f>
        <v>160</v>
      </c>
      <c r="Y68">
        <f>Y67/12</f>
        <v>150</v>
      </c>
    </row>
  </sheetData>
  <mergeCells count="31">
    <mergeCell ref="J50:Z50"/>
    <mergeCell ref="J35:Z35"/>
    <mergeCell ref="J44:Z44"/>
    <mergeCell ref="J45:K45"/>
    <mergeCell ref="M45:N45"/>
    <mergeCell ref="P45:Q45"/>
    <mergeCell ref="S45:T45"/>
    <mergeCell ref="V45:W45"/>
    <mergeCell ref="Y45:Z45"/>
    <mergeCell ref="J3:Z3"/>
    <mergeCell ref="J15:Z15"/>
    <mergeCell ref="J25:Z25"/>
    <mergeCell ref="J26:K26"/>
    <mergeCell ref="M26:N26"/>
    <mergeCell ref="P26:Q26"/>
    <mergeCell ref="S26:T26"/>
    <mergeCell ref="V26:W26"/>
    <mergeCell ref="Y26:Z26"/>
    <mergeCell ref="J4:K4"/>
    <mergeCell ref="M4:N4"/>
    <mergeCell ref="P4:Q4"/>
    <mergeCell ref="S4:T4"/>
    <mergeCell ref="V4:W4"/>
    <mergeCell ref="Y4:Z4"/>
    <mergeCell ref="J57:Z57"/>
    <mergeCell ref="J65:K65"/>
    <mergeCell ref="M65:N65"/>
    <mergeCell ref="P65:Q65"/>
    <mergeCell ref="S65:T65"/>
    <mergeCell ref="V65:W65"/>
    <mergeCell ref="Y65:Z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D521C-84FC-4C9D-B27D-68064FBCA20C}">
  <dimension ref="A1:H20"/>
  <sheetViews>
    <sheetView workbookViewId="0">
      <selection activeCell="M11" sqref="M11"/>
    </sheetView>
  </sheetViews>
  <sheetFormatPr defaultRowHeight="15"/>
  <sheetData>
    <row r="1" spans="1:7">
      <c r="A1" s="2" t="s">
        <v>63</v>
      </c>
      <c r="B1" s="3" t="s">
        <v>64</v>
      </c>
    </row>
    <row r="2" spans="1:7">
      <c r="A2" t="s">
        <v>65</v>
      </c>
      <c r="E2">
        <v>3285000</v>
      </c>
    </row>
    <row r="3" spans="1:7">
      <c r="A3" t="s">
        <v>66</v>
      </c>
    </row>
    <row r="4" spans="1:7">
      <c r="A4" t="s">
        <v>67</v>
      </c>
      <c r="D4">
        <v>0</v>
      </c>
    </row>
    <row r="5" spans="1:7">
      <c r="A5" t="s">
        <v>68</v>
      </c>
      <c r="D5">
        <v>1600000</v>
      </c>
    </row>
    <row r="6" spans="1:7">
      <c r="D6" s="5">
        <f>D4+D5</f>
        <v>1600000</v>
      </c>
    </row>
    <row r="7" spans="1:7">
      <c r="A7" t="s">
        <v>69</v>
      </c>
      <c r="D7" s="11">
        <v>0</v>
      </c>
    </row>
    <row r="8" spans="1:7">
      <c r="A8" s="3" t="s">
        <v>70</v>
      </c>
      <c r="E8" s="11">
        <f>D6-D7</f>
        <v>1600000</v>
      </c>
    </row>
    <row r="9" spans="1:7">
      <c r="E9">
        <f>E2-E8</f>
        <v>1685000</v>
      </c>
    </row>
    <row r="10" spans="1:7">
      <c r="A10" s="9" t="s">
        <v>71</v>
      </c>
    </row>
    <row r="11" spans="1:7">
      <c r="A11" t="s">
        <v>26</v>
      </c>
      <c r="D11">
        <f>'Part A'!H14</f>
        <v>300000</v>
      </c>
    </row>
    <row r="12" spans="1:7">
      <c r="A12" t="s">
        <v>27</v>
      </c>
      <c r="D12">
        <f>'Part A'!H15</f>
        <v>328500</v>
      </c>
    </row>
    <row r="13" spans="1:7">
      <c r="A13" t="s">
        <v>29</v>
      </c>
      <c r="D13">
        <f>'Part A'!H16</f>
        <v>415200</v>
      </c>
    </row>
    <row r="14" spans="1:7">
      <c r="A14" t="s">
        <v>72</v>
      </c>
      <c r="D14">
        <f>'Part A'!P55</f>
        <v>4800</v>
      </c>
    </row>
    <row r="15" spans="1:7">
      <c r="A15" t="s">
        <v>25</v>
      </c>
      <c r="D15" s="11">
        <f>'Part A'!K23</f>
        <v>32850</v>
      </c>
      <c r="E15" s="11">
        <f>SUM(D11:D15)</f>
        <v>1081350</v>
      </c>
      <c r="G15" t="s">
        <v>73</v>
      </c>
    </row>
    <row r="16" spans="1:7">
      <c r="A16" t="s">
        <v>74</v>
      </c>
      <c r="E16">
        <f>E9-E15</f>
        <v>603650</v>
      </c>
    </row>
    <row r="17" spans="1:8">
      <c r="A17" t="s">
        <v>75</v>
      </c>
      <c r="E17" s="11">
        <f>'Part A'!K42</f>
        <v>12300</v>
      </c>
      <c r="G17">
        <f>1600000-370000</f>
        <v>1230000</v>
      </c>
      <c r="H17" t="s">
        <v>76</v>
      </c>
    </row>
    <row r="18" spans="1:8">
      <c r="E18">
        <f>E16+E17</f>
        <v>615950</v>
      </c>
    </row>
    <row r="19" spans="1:8">
      <c r="A19" t="s">
        <v>77</v>
      </c>
      <c r="E19">
        <f>'Part A'!H19</f>
        <v>1050</v>
      </c>
    </row>
    <row r="20" spans="1:8">
      <c r="A20" t="s">
        <v>78</v>
      </c>
      <c r="E20" s="6">
        <f>E18-E19</f>
        <v>614900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2D14A-B5F5-4104-9713-1E70B1538F9D}">
  <dimension ref="A1:C8"/>
  <sheetViews>
    <sheetView workbookViewId="0">
      <selection activeCell="J11" sqref="J10:J11"/>
    </sheetView>
  </sheetViews>
  <sheetFormatPr defaultRowHeight="15"/>
  <sheetData>
    <row r="1" spans="1:3">
      <c r="A1" s="2" t="s">
        <v>79</v>
      </c>
      <c r="B1" s="13" t="s">
        <v>80</v>
      </c>
      <c r="C1" s="3"/>
    </row>
    <row r="2" spans="1:3">
      <c r="A2" s="2"/>
      <c r="B2" s="21" t="s">
        <v>81</v>
      </c>
      <c r="C2" s="14"/>
    </row>
    <row r="3" spans="1:3">
      <c r="B3" s="21" t="s">
        <v>82</v>
      </c>
      <c r="C3" s="14"/>
    </row>
    <row r="4" spans="1:3">
      <c r="B4" s="15"/>
      <c r="C4" s="14"/>
    </row>
    <row r="5" spans="1:3">
      <c r="B5" s="20" t="s">
        <v>83</v>
      </c>
    </row>
    <row r="6" spans="1:3">
      <c r="B6" s="15">
        <v>1</v>
      </c>
      <c r="C6" t="s">
        <v>84</v>
      </c>
    </row>
    <row r="7" spans="1:3">
      <c r="B7" s="15">
        <v>2</v>
      </c>
      <c r="C7" t="s">
        <v>85</v>
      </c>
    </row>
    <row r="8" spans="1:3">
      <c r="B8" s="15">
        <v>3</v>
      </c>
      <c r="C8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 Ryan</cp:lastModifiedBy>
  <cp:revision/>
  <dcterms:created xsi:type="dcterms:W3CDTF">2019-11-09T19:01:38Z</dcterms:created>
  <dcterms:modified xsi:type="dcterms:W3CDTF">2019-11-27T11:51:21Z</dcterms:modified>
  <cp:category/>
  <cp:contentStatus/>
</cp:coreProperties>
</file>