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Ryan\Downloads\"/>
    </mc:Choice>
  </mc:AlternateContent>
  <xr:revisionPtr revIDLastSave="0" documentId="13_ncr:1_{11EFC1BE-DA11-4F05-ADB2-B7674D60F0BA}" xr6:coauthVersionLast="47" xr6:coauthVersionMax="47" xr10:uidLastSave="{00000000-0000-0000-0000-000000000000}"/>
  <bookViews>
    <workbookView xWindow="-120" yWindow="-120" windowWidth="20730" windowHeight="11160" activeTab="2" xr2:uid="{C73118A3-7ACD-42D7-9E0C-46BA679350F4}"/>
  </bookViews>
  <sheets>
    <sheet name="Working " sheetId="1" r:id="rId1"/>
    <sheet name="P &amp; L" sheetId="2" r:id="rId2"/>
    <sheet name="Balance Sheet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3" l="1"/>
  <c r="H185" i="1"/>
  <c r="H183" i="1"/>
  <c r="E185" i="1"/>
  <c r="B185" i="1"/>
  <c r="C4" i="3"/>
  <c r="C3" i="3"/>
  <c r="E35" i="2"/>
  <c r="E23" i="2"/>
  <c r="A41" i="1"/>
  <c r="D36" i="1" s="1"/>
  <c r="E68" i="1"/>
  <c r="E203" i="1"/>
  <c r="I203" i="1" s="1"/>
  <c r="B204" i="1"/>
  <c r="I202" i="1" s="1"/>
  <c r="H105" i="1"/>
  <c r="B192" i="1"/>
  <c r="E24" i="2" s="1"/>
  <c r="B190" i="1"/>
  <c r="F32" i="1"/>
  <c r="D17" i="3" s="1"/>
  <c r="A144" i="1"/>
  <c r="E144" i="1" s="1"/>
  <c r="E145" i="1" s="1"/>
  <c r="D139" i="1"/>
  <c r="D140" i="1"/>
  <c r="A139" i="1"/>
  <c r="H129" i="1"/>
  <c r="D12" i="2" s="1"/>
  <c r="B130" i="1"/>
  <c r="B125" i="1"/>
  <c r="F123" i="1" s="1"/>
  <c r="F125" i="1" s="1"/>
  <c r="D36" i="3" s="1"/>
  <c r="F12" i="1"/>
  <c r="I9" i="1" s="1"/>
  <c r="F10" i="1"/>
  <c r="B106" i="1"/>
  <c r="E104" i="1" s="1"/>
  <c r="E106" i="1" s="1"/>
  <c r="H104" i="1" s="1"/>
  <c r="B101" i="1"/>
  <c r="E2" i="2" s="1"/>
  <c r="I88" i="1"/>
  <c r="G87" i="1"/>
  <c r="I87" i="1" s="1"/>
  <c r="A89" i="1"/>
  <c r="G78" i="1" s="1"/>
  <c r="C87" i="1"/>
  <c r="I78" i="1"/>
  <c r="B80" i="1"/>
  <c r="D79" i="1" s="1"/>
  <c r="B81" i="1" s="1"/>
  <c r="C5" i="3" s="1"/>
  <c r="L78" i="1"/>
  <c r="L80" i="1" s="1"/>
  <c r="B74" i="1"/>
  <c r="C22" i="3" s="1"/>
  <c r="B69" i="1"/>
  <c r="E67" i="1" s="1"/>
  <c r="D62" i="1"/>
  <c r="B64" i="1"/>
  <c r="B62" i="1"/>
  <c r="G49" i="1"/>
  <c r="D18" i="3" s="1"/>
  <c r="G48" i="1"/>
  <c r="C20" i="2" s="1"/>
  <c r="A49" i="1"/>
  <c r="A25" i="1"/>
  <c r="A31" i="1" s="1"/>
  <c r="A22" i="1"/>
  <c r="E30" i="2" s="1"/>
  <c r="B11" i="1"/>
  <c r="B220" i="1"/>
  <c r="D37" i="3" s="1"/>
  <c r="B180" i="1"/>
  <c r="D19" i="3" s="1"/>
  <c r="B156" i="1"/>
  <c r="D16" i="2" s="1"/>
  <c r="D14" i="2" l="1"/>
  <c r="D13" i="2"/>
  <c r="D3" i="3"/>
  <c r="H106" i="1"/>
  <c r="I204" i="1"/>
  <c r="D4" i="3" s="1"/>
  <c r="B149" i="1"/>
  <c r="E69" i="1"/>
  <c r="D5" i="2" s="1"/>
  <c r="I89" i="1"/>
  <c r="I79" i="1" s="1"/>
  <c r="N78" i="1"/>
  <c r="N80" i="1" s="1"/>
  <c r="D80" i="1"/>
  <c r="D141" i="1"/>
  <c r="A30" i="1"/>
  <c r="A24" i="1"/>
  <c r="A32" i="1" s="1"/>
  <c r="A36" i="1"/>
  <c r="A37" i="1" s="1"/>
  <c r="D35" i="1" s="1"/>
  <c r="D35" i="3"/>
  <c r="C35" i="3"/>
  <c r="I80" i="1" l="1"/>
  <c r="G79" i="1" s="1"/>
  <c r="I81" i="1" s="1"/>
  <c r="D5" i="3" s="1"/>
  <c r="C19" i="2"/>
  <c r="D20" i="2" s="1"/>
  <c r="B228" i="1"/>
  <c r="B229" i="1" s="1"/>
  <c r="C15" i="3"/>
  <c r="E32" i="2"/>
  <c r="B148" i="1"/>
  <c r="B150" i="1" s="1"/>
  <c r="C23" i="3" s="1"/>
  <c r="D25" i="3" s="1"/>
  <c r="E4" i="3"/>
  <c r="E3" i="3"/>
  <c r="B10" i="1"/>
  <c r="B12" i="1" s="1"/>
  <c r="I8" i="1" s="1"/>
  <c r="I10" i="1" s="1"/>
  <c r="G80" i="1" l="1"/>
  <c r="F229" i="1"/>
  <c r="F230" i="1" s="1"/>
  <c r="E25" i="2" s="1"/>
  <c r="C16" i="3"/>
  <c r="D16" i="3" s="1"/>
  <c r="D14" i="3"/>
  <c r="D7" i="2"/>
  <c r="D37" i="1"/>
  <c r="E8" i="3" s="1"/>
  <c r="D17" i="2"/>
  <c r="E20" i="2" s="1"/>
  <c r="D6" i="3"/>
  <c r="C6" i="3"/>
  <c r="D20" i="3" l="1"/>
  <c r="E26" i="3" s="1"/>
  <c r="D6" i="2"/>
  <c r="E8" i="2" s="1"/>
  <c r="E9" i="2" s="1"/>
  <c r="E21" i="2" s="1"/>
  <c r="E27" i="2" s="1"/>
  <c r="E31" i="2" s="1"/>
  <c r="E5" i="3"/>
  <c r="E33" i="2" l="1"/>
  <c r="E36" i="2" s="1"/>
  <c r="E38" i="2" s="1"/>
  <c r="E6" i="3"/>
  <c r="E12" i="3" s="1"/>
  <c r="E27" i="3" l="1"/>
  <c r="D38" i="3"/>
  <c r="E38" i="3" s="1"/>
  <c r="E39" i="3" s="1"/>
</calcChain>
</file>

<file path=xl/sharedStrings.xml><?xml version="1.0" encoding="utf-8"?>
<sst xmlns="http://schemas.openxmlformats.org/spreadsheetml/2006/main" count="436" uniqueCount="279">
  <si>
    <t>Working 1 - Closing Stock</t>
  </si>
  <si>
    <t>Cost</t>
  </si>
  <si>
    <t>NRV</t>
  </si>
  <si>
    <t>Working 2 - Investment Income</t>
  </si>
  <si>
    <t>O I</t>
  </si>
  <si>
    <t>* 4/7</t>
  </si>
  <si>
    <t>Incorpoated in patents</t>
  </si>
  <si>
    <t>Working 3 - Investment Income due</t>
  </si>
  <si>
    <t>BS CA</t>
  </si>
  <si>
    <t>due</t>
  </si>
  <si>
    <t>Working 4 - Patents</t>
  </si>
  <si>
    <t>Exp</t>
  </si>
  <si>
    <t>BS FA</t>
  </si>
  <si>
    <t>* 6%</t>
  </si>
  <si>
    <t>Less O I</t>
  </si>
  <si>
    <t>12000 * 3/12</t>
  </si>
  <si>
    <t>Paid</t>
  </si>
  <si>
    <t>Should</t>
  </si>
  <si>
    <t>Reduce Debenture paid by 600</t>
  </si>
  <si>
    <t>VAT</t>
  </si>
  <si>
    <t>Amount</t>
  </si>
  <si>
    <t xml:space="preserve">Paid </t>
  </si>
  <si>
    <t>BS CL</t>
  </si>
  <si>
    <t>Salaries</t>
  </si>
  <si>
    <t>Interest</t>
  </si>
  <si>
    <t>P &amp; L (a)</t>
  </si>
  <si>
    <t>P &amp; L (A)</t>
  </si>
  <si>
    <t>Debtors</t>
  </si>
  <si>
    <t>Damage</t>
  </si>
  <si>
    <t>Vans</t>
  </si>
  <si>
    <t>Acc Dep</t>
  </si>
  <si>
    <t>Disposal</t>
  </si>
  <si>
    <t>Bal b/d</t>
  </si>
  <si>
    <t>Acc dep</t>
  </si>
  <si>
    <t>Bank</t>
  </si>
  <si>
    <t>Bal c/d</t>
  </si>
  <si>
    <t>P &amp; L</t>
  </si>
  <si>
    <t>Trade in</t>
  </si>
  <si>
    <t>* 15%</t>
  </si>
  <si>
    <t>Discount</t>
  </si>
  <si>
    <t>Purchases</t>
  </si>
  <si>
    <t>Increase</t>
  </si>
  <si>
    <t>Creditors</t>
  </si>
  <si>
    <t>Cl Stock</t>
  </si>
  <si>
    <t xml:space="preserve">1% = </t>
  </si>
  <si>
    <t xml:space="preserve">100% = </t>
  </si>
  <si>
    <t>Old</t>
  </si>
  <si>
    <t>New</t>
  </si>
  <si>
    <t>* 2%</t>
  </si>
  <si>
    <t>* 4%</t>
  </si>
  <si>
    <t>Sales</t>
  </si>
  <si>
    <t>Less cost of sales</t>
  </si>
  <si>
    <t>Op stock</t>
  </si>
  <si>
    <t>Add Purchases</t>
  </si>
  <si>
    <t>(w14)</t>
  </si>
  <si>
    <t>Less Cclosing Stock</t>
  </si>
  <si>
    <t>(w1)</t>
  </si>
  <si>
    <t>GROSS PROFIT</t>
  </si>
  <si>
    <t>Less Expenses</t>
  </si>
  <si>
    <t>Administration</t>
  </si>
  <si>
    <t>Dep Buildings</t>
  </si>
  <si>
    <t>(w21)</t>
  </si>
  <si>
    <t>Dep Office Equiptment</t>
  </si>
  <si>
    <t>Patents w/o</t>
  </si>
  <si>
    <t>(w4)</t>
  </si>
  <si>
    <t>(w10)</t>
  </si>
  <si>
    <t>Selling &amp; Distrubution</t>
  </si>
  <si>
    <t>Dep Vans</t>
  </si>
  <si>
    <t>(w16)</t>
  </si>
  <si>
    <t>Advertising</t>
  </si>
  <si>
    <t>Add Other Operating Income</t>
  </si>
  <si>
    <t>(w20)</t>
  </si>
  <si>
    <t>Opearing Income</t>
  </si>
  <si>
    <t>Add investment income</t>
  </si>
  <si>
    <t>(w2)</t>
  </si>
  <si>
    <t>Less Debenture Interest</t>
  </si>
  <si>
    <t>(w5)</t>
  </si>
  <si>
    <t xml:space="preserve">Less Dividends </t>
  </si>
  <si>
    <t>Reatined Profit</t>
  </si>
  <si>
    <t>P &amp; L Bal 01.01.19</t>
  </si>
  <si>
    <t>P &amp; L Bal 31.12.19</t>
  </si>
  <si>
    <t>Tangible Fixed Assets</t>
  </si>
  <si>
    <t>NBV</t>
  </si>
  <si>
    <t>Land &amp; Buildings</t>
  </si>
  <si>
    <t>Office Equioptment</t>
  </si>
  <si>
    <t>Intangible Fixed Assets</t>
  </si>
  <si>
    <t>Patents</t>
  </si>
  <si>
    <t>Finanical Assets</t>
  </si>
  <si>
    <t>Investments</t>
  </si>
  <si>
    <t>Current Assest</t>
  </si>
  <si>
    <t>Closing Stock</t>
  </si>
  <si>
    <t>Advertising Prepaid</t>
  </si>
  <si>
    <t>(w12)</t>
  </si>
  <si>
    <t>(w9)</t>
  </si>
  <si>
    <t>Less Provision</t>
  </si>
  <si>
    <t>Investment Due</t>
  </si>
  <si>
    <t>(w3)</t>
  </si>
  <si>
    <t>(w19)</t>
  </si>
  <si>
    <t>Debenture Interest</t>
  </si>
  <si>
    <t>(w6)</t>
  </si>
  <si>
    <t>PRSI</t>
  </si>
  <si>
    <t>(w8)</t>
  </si>
  <si>
    <t>Working Capital</t>
  </si>
  <si>
    <t>Total Net Assets</t>
  </si>
  <si>
    <t>Finance By</t>
  </si>
  <si>
    <t>Creditors due amount falling after 1 year</t>
  </si>
  <si>
    <t>Capital &amp; Reserve</t>
  </si>
  <si>
    <t xml:space="preserve">Issued </t>
  </si>
  <si>
    <t>Authorised</t>
  </si>
  <si>
    <t>Ordinary Shares</t>
  </si>
  <si>
    <t>Preference shares</t>
  </si>
  <si>
    <t>Capital Reserve</t>
  </si>
  <si>
    <t>P &amp; L 31.12.18</t>
  </si>
  <si>
    <t>Capital Employed</t>
  </si>
  <si>
    <t>* 20%</t>
  </si>
  <si>
    <t>Closign Stock</t>
  </si>
  <si>
    <t>Decrease</t>
  </si>
  <si>
    <t>By NRV</t>
  </si>
  <si>
    <t>By damage stock</t>
  </si>
  <si>
    <t>Part 1</t>
  </si>
  <si>
    <t>P &amp; L T</t>
  </si>
  <si>
    <t>Patents Incorporated Investment Income</t>
  </si>
  <si>
    <t>Investment Income</t>
  </si>
  <si>
    <t>Investment Income Due</t>
  </si>
  <si>
    <t>Patent W/O</t>
  </si>
  <si>
    <t>Invest Income Due</t>
  </si>
  <si>
    <t>Calcualte</t>
  </si>
  <si>
    <t>Yearly Amount</t>
  </si>
  <si>
    <t>P &amp; L Add OI</t>
  </si>
  <si>
    <t>BS TA</t>
  </si>
  <si>
    <t>90000 * 3% * 7/12</t>
  </si>
  <si>
    <t>Working 5 - Patents W/O</t>
  </si>
  <si>
    <t>Advertising Campaign</t>
  </si>
  <si>
    <t>Figure for this period</t>
  </si>
  <si>
    <t>Figure Overpaid</t>
  </si>
  <si>
    <t>P &amp; L (s &amp; d)</t>
  </si>
  <si>
    <t>/ 18</t>
  </si>
  <si>
    <t>Per month</t>
  </si>
  <si>
    <t>This year 2 months</t>
  </si>
  <si>
    <t>16 monts prepaid</t>
  </si>
  <si>
    <t>2 * 300</t>
  </si>
  <si>
    <t>16*300</t>
  </si>
  <si>
    <t>BSCA</t>
  </si>
  <si>
    <t>Working 6 - Advertising</t>
  </si>
  <si>
    <t>Restocking Charge</t>
  </si>
  <si>
    <t>Increae</t>
  </si>
  <si>
    <t>Buy restocking charge</t>
  </si>
  <si>
    <t>NOTE - Need to calcuate the restocking Charge</t>
  </si>
  <si>
    <t xml:space="preserve">125% = </t>
  </si>
  <si>
    <t>1% =</t>
  </si>
  <si>
    <t>10000/125</t>
  </si>
  <si>
    <t>100% =</t>
  </si>
  <si>
    <t>80 * 100</t>
  </si>
  <si>
    <t>10% 0f cost</t>
  </si>
  <si>
    <t xml:space="preserve">8000 * </t>
  </si>
  <si>
    <t>Increase Purchases by 800</t>
  </si>
  <si>
    <t>Increase Creditors by 800</t>
  </si>
  <si>
    <t>Working 7 - Purchases</t>
  </si>
  <si>
    <t>Restock</t>
  </si>
  <si>
    <t>Working 8 - Creditors</t>
  </si>
  <si>
    <t>Working 9 - Depreciation Vans</t>
  </si>
  <si>
    <t>30000 * 15%</t>
  </si>
  <si>
    <t>x</t>
  </si>
  <si>
    <t>4500 * 3 years</t>
  </si>
  <si>
    <t>No dep in year of disposal</t>
  </si>
  <si>
    <t>This Year</t>
  </si>
  <si>
    <t>Cheque</t>
  </si>
  <si>
    <t>Sale or Return</t>
  </si>
  <si>
    <t>Sent to a customer (Sales)</t>
  </si>
  <si>
    <t>Debtoirs</t>
  </si>
  <si>
    <t xml:space="preserve">By the total </t>
  </si>
  <si>
    <t xml:space="preserve">By the Total </t>
  </si>
  <si>
    <t>By Cost</t>
  </si>
  <si>
    <t>Working 10 - Sales</t>
  </si>
  <si>
    <t>S o R</t>
  </si>
  <si>
    <t>Working 11 - Debtors</t>
  </si>
  <si>
    <t>Part 2 (S o R)</t>
  </si>
  <si>
    <t>25000/125</t>
  </si>
  <si>
    <t>200 *100</t>
  </si>
  <si>
    <t>Revaluation Reserve</t>
  </si>
  <si>
    <t>Revalue</t>
  </si>
  <si>
    <t>Working 12 - Revaluation Reserve</t>
  </si>
  <si>
    <t>need to calcaute</t>
  </si>
  <si>
    <t>Increase in the buildinsg</t>
  </si>
  <si>
    <t>BS FB</t>
  </si>
  <si>
    <t>NOTE</t>
  </si>
  <si>
    <t>This year dep is not included because they were revalued at the start of the year</t>
  </si>
  <si>
    <t>Working 13 - Dep Buildings</t>
  </si>
  <si>
    <t>Buildings</t>
  </si>
  <si>
    <t>Land</t>
  </si>
  <si>
    <t>Ladnd doesn’t depericate</t>
  </si>
  <si>
    <t>Calcuate the dep figure for the p &amp; L and BS</t>
  </si>
  <si>
    <t>Suspense</t>
  </si>
  <si>
    <t>Debenture Interest Due</t>
  </si>
  <si>
    <t>Increase / Decrease</t>
  </si>
  <si>
    <t>Calculate the figure for this year</t>
  </si>
  <si>
    <t>P &amp; L add OI</t>
  </si>
  <si>
    <t>Calcaute what is left to be paid</t>
  </si>
  <si>
    <t>Adjust the suspense Figure</t>
  </si>
  <si>
    <t xml:space="preserve">P &amp; L </t>
  </si>
  <si>
    <t>Adjust the creditros figure</t>
  </si>
  <si>
    <t>Working 14 - Debenture Interest</t>
  </si>
  <si>
    <t>* 6% * 4/12</t>
  </si>
  <si>
    <t>Workiong 15 - Debenture Interes due</t>
  </si>
  <si>
    <t>Working 16 - salaries and generla Expenses</t>
  </si>
  <si>
    <t>Bank Statement</t>
  </si>
  <si>
    <t>Adjust the VAT figure (Dr Bank Cr VAT)</t>
  </si>
  <si>
    <t>Part 2</t>
  </si>
  <si>
    <t>Investmetn Income Due</t>
  </si>
  <si>
    <t>Adjsut investment Income Due</t>
  </si>
  <si>
    <t>Working 18 - VAT</t>
  </si>
  <si>
    <t xml:space="preserve">Remember vAT is on the Dr side so is and </t>
  </si>
  <si>
    <t>asset</t>
  </si>
  <si>
    <t>Part 3</t>
  </si>
  <si>
    <t>Don’t do anythign as it hasn’t been presented for payment so no money has left the bank account</t>
  </si>
  <si>
    <t>Part 4</t>
  </si>
  <si>
    <t>Debtor</t>
  </si>
  <si>
    <t>Bad Debt Recovered</t>
  </si>
  <si>
    <t>Create</t>
  </si>
  <si>
    <t>Calcualte the full debts</t>
  </si>
  <si>
    <t>With the cheque amount received</t>
  </si>
  <si>
    <t>Difference between the full debt and the cheque</t>
  </si>
  <si>
    <t>Working 19 - Bank</t>
  </si>
  <si>
    <t>Working 20 - Bad debt Recovered</t>
  </si>
  <si>
    <t xml:space="preserve">60% = </t>
  </si>
  <si>
    <t>1200/60</t>
  </si>
  <si>
    <t>20 * 100</t>
  </si>
  <si>
    <t>Debt</t>
  </si>
  <si>
    <t>2000 - 1200</t>
  </si>
  <si>
    <t>Directors Recommendations</t>
  </si>
  <si>
    <t>Working 21 - Dep Office Equiptment</t>
  </si>
  <si>
    <t>Dep</t>
  </si>
  <si>
    <t>Calcualte the new figure (of Book Value)</t>
  </si>
  <si>
    <t>Book Value = Cost - Acc Dep</t>
  </si>
  <si>
    <t>Book Vlaue is giev in the question</t>
  </si>
  <si>
    <t>Debenture interest Due</t>
  </si>
  <si>
    <t>See Working 3</t>
  </si>
  <si>
    <t>See Working 15</t>
  </si>
  <si>
    <t>Profit</t>
  </si>
  <si>
    <t xml:space="preserve">Capital </t>
  </si>
  <si>
    <t>Take 12000 our of the profit</t>
  </si>
  <si>
    <t>Add 1200 to the capital</t>
  </si>
  <si>
    <t>Working 22 - Capital</t>
  </si>
  <si>
    <t>Working 23 - Capital</t>
  </si>
  <si>
    <t>Amout</t>
  </si>
  <si>
    <t>Capital</t>
  </si>
  <si>
    <t>Provision for bad Debts</t>
  </si>
  <si>
    <t>Increase/decrease</t>
  </si>
  <si>
    <t>Adjust the provision for bad debts</t>
  </si>
  <si>
    <t>Inc</t>
  </si>
  <si>
    <t>Dec</t>
  </si>
  <si>
    <t>Working 23 - Provision foo bad debts</t>
  </si>
  <si>
    <t>Trading Profit and Loss for Aiken Ltd for year ended 31/12/21</t>
  </si>
  <si>
    <t>(w7)</t>
  </si>
  <si>
    <t>(w13)</t>
  </si>
  <si>
    <t>directors Fees</t>
  </si>
  <si>
    <t>45000 / 5</t>
  </si>
  <si>
    <t>Started in 2020 so we have 1 years written off already</t>
  </si>
  <si>
    <t>5 years left to be written off</t>
  </si>
  <si>
    <t>Profit form sale</t>
  </si>
  <si>
    <t>Bad debts rec</t>
  </si>
  <si>
    <t>Dec provision</t>
  </si>
  <si>
    <t>(w23)</t>
  </si>
  <si>
    <t>Transfer Capital</t>
  </si>
  <si>
    <t>(w12 &amp; 13)</t>
  </si>
  <si>
    <t>Balance Sheet for Aiken Ltd as at  31/12/21</t>
  </si>
  <si>
    <t>BS IA</t>
  </si>
  <si>
    <t>(w11)</t>
  </si>
  <si>
    <t>(W18)</t>
  </si>
  <si>
    <t>Creditors falling ue within one year</t>
  </si>
  <si>
    <t>(w15)</t>
  </si>
  <si>
    <t>6% Debentures</t>
  </si>
  <si>
    <t>Revalution Reserve</t>
  </si>
  <si>
    <t>(w123)</t>
  </si>
  <si>
    <t>Decrease the O/d as we received the money (DR)</t>
  </si>
  <si>
    <t>Decreae</t>
  </si>
  <si>
    <t>As we receive the income</t>
  </si>
  <si>
    <t>Income</t>
  </si>
  <si>
    <t>Bad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</si>
</sst>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omic Sans MS"/>
      <family val="4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i/>
      <u/>
      <sz val="11"/>
      <color theme="1"/>
      <name val="Comic Sans MS"/>
      <family val="4"/>
    </font>
    <font>
      <sz val="8"/>
      <color theme="1"/>
      <name val="Comic Sans MS"/>
      <family val="4"/>
    </font>
    <font>
      <u/>
      <sz val="11"/>
      <color theme="1"/>
      <name val="Comic Sans MS"/>
      <family val="4"/>
    </font>
    <font>
      <b/>
      <sz val="11"/>
      <color rgb="FFFF000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2" borderId="2" xfId="0" applyFont="1" applyFill="1" applyBorder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3" fillId="2" borderId="0" xfId="0" applyFont="1" applyFill="1"/>
    <xf numFmtId="0" fontId="3" fillId="0" borderId="0" xfId="0" applyFont="1"/>
    <xf numFmtId="0" fontId="2" fillId="3" borderId="2" xfId="0" applyFont="1" applyFill="1" applyBorder="1"/>
    <xf numFmtId="0" fontId="3" fillId="2" borderId="15" xfId="0" applyFont="1" applyFill="1" applyBorder="1"/>
    <xf numFmtId="0" fontId="2" fillId="0" borderId="15" xfId="0" applyFont="1" applyBorder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3" fontId="3" fillId="2" borderId="0" xfId="0" applyNumberFormat="1" applyFont="1" applyFill="1"/>
    <xf numFmtId="3" fontId="3" fillId="3" borderId="0" xfId="0" applyNumberFormat="1" applyFont="1" applyFill="1"/>
    <xf numFmtId="3" fontId="1" fillId="3" borderId="0" xfId="0" applyNumberFormat="1" applyFont="1" applyFill="1"/>
    <xf numFmtId="3" fontId="2" fillId="3" borderId="0" xfId="0" applyNumberFormat="1" applyFont="1" applyFill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4" fillId="0" borderId="0" xfId="0" applyFont="1" applyAlignment="1"/>
    <xf numFmtId="0" fontId="2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3" borderId="0" xfId="0" applyNumberFormat="1" applyFont="1" applyFill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7" fillId="0" borderId="0" xfId="0" applyFont="1"/>
    <xf numFmtId="3" fontId="2" fillId="0" borderId="7" xfId="0" applyNumberFormat="1" applyFont="1" applyBorder="1"/>
    <xf numFmtId="3" fontId="2" fillId="0" borderId="0" xfId="0" applyNumberFormat="1" applyFont="1"/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0" borderId="20" xfId="0" applyNumberFormat="1" applyFont="1" applyBorder="1"/>
    <xf numFmtId="3" fontId="2" fillId="0" borderId="16" xfId="0" applyNumberFormat="1" applyFont="1" applyBorder="1"/>
    <xf numFmtId="3" fontId="2" fillId="0" borderId="10" xfId="0" applyNumberFormat="1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/>
    <xf numFmtId="3" fontId="2" fillId="0" borderId="3" xfId="0" applyNumberFormat="1" applyFont="1" applyBorder="1"/>
    <xf numFmtId="3" fontId="2" fillId="0" borderId="11" xfId="0" applyNumberFormat="1" applyFont="1" applyBorder="1"/>
    <xf numFmtId="3" fontId="2" fillId="0" borderId="12" xfId="0" applyNumberFormat="1" applyFont="1" applyBorder="1"/>
    <xf numFmtId="3" fontId="2" fillId="0" borderId="14" xfId="0" applyNumberFormat="1" applyFont="1" applyBorder="1"/>
    <xf numFmtId="3" fontId="2" fillId="0" borderId="13" xfId="0" applyNumberFormat="1" applyFont="1" applyBorder="1"/>
    <xf numFmtId="3" fontId="3" fillId="0" borderId="11" xfId="0" applyNumberFormat="1" applyFont="1" applyBorder="1"/>
    <xf numFmtId="3" fontId="3" fillId="0" borderId="0" xfId="0" applyNumberFormat="1" applyFont="1"/>
    <xf numFmtId="3" fontId="2" fillId="0" borderId="1" xfId="0" applyNumberFormat="1" applyFont="1" applyBorder="1"/>
    <xf numFmtId="0" fontId="3" fillId="2" borderId="2" xfId="0" applyFont="1" applyFill="1" applyBorder="1" applyAlignment="1">
      <alignment horizontal="right"/>
    </xf>
    <xf numFmtId="3" fontId="2" fillId="0" borderId="21" xfId="0" applyNumberFormat="1" applyFont="1" applyBorder="1"/>
    <xf numFmtId="3" fontId="2" fillId="0" borderId="0" xfId="0" applyNumberFormat="1" applyFont="1" applyBorder="1"/>
    <xf numFmtId="0" fontId="1" fillId="0" borderId="0" xfId="0" applyFont="1" applyBorder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7C623-F8BF-432B-9D27-FE85E9EF7ED4}">
  <dimension ref="A1:N231"/>
  <sheetViews>
    <sheetView view="pageLayout" topLeftCell="A179" zoomScaleNormal="100" workbookViewId="0">
      <selection activeCell="I185" sqref="I185"/>
    </sheetView>
  </sheetViews>
  <sheetFormatPr defaultRowHeight="16.5" x14ac:dyDescent="0.3"/>
  <cols>
    <col min="1" max="1" width="9" style="2" customWidth="1"/>
    <col min="2" max="2" width="10.42578125" style="2" customWidth="1"/>
    <col min="3" max="14" width="9" style="2" customWidth="1"/>
    <col min="15" max="19" width="9.140625" style="2"/>
    <col min="20" max="20" width="9.28515625" style="2" bestFit="1" customWidth="1"/>
    <col min="21" max="22" width="9.140625" style="2"/>
    <col min="23" max="23" width="9.28515625" style="2" bestFit="1" customWidth="1"/>
    <col min="24" max="24" width="9.140625" style="2"/>
    <col min="25" max="25" width="9.28515625" style="2" bestFit="1" customWidth="1"/>
    <col min="26" max="16384" width="9.140625" style="2"/>
  </cols>
  <sheetData>
    <row r="1" spans="1:14" ht="18.75" thickBot="1" x14ac:dyDescent="0.4">
      <c r="A1" s="50" t="s">
        <v>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14" ht="18" x14ac:dyDescent="0.35">
      <c r="A2" s="26">
        <v>1</v>
      </c>
      <c r="B2" s="27" t="s">
        <v>115</v>
      </c>
      <c r="C2" s="26"/>
      <c r="D2" s="26" t="s">
        <v>116</v>
      </c>
      <c r="E2" s="27" t="s">
        <v>118</v>
      </c>
      <c r="F2" s="25"/>
      <c r="G2" s="25"/>
      <c r="H2" s="25"/>
    </row>
    <row r="3" spans="1:14" ht="18" x14ac:dyDescent="0.35">
      <c r="A3" s="26"/>
      <c r="B3" s="26"/>
      <c r="C3" s="26"/>
      <c r="D3" s="26" t="s">
        <v>41</v>
      </c>
      <c r="E3" s="27" t="s">
        <v>117</v>
      </c>
      <c r="F3" s="25"/>
      <c r="G3" s="26"/>
      <c r="H3" s="25"/>
      <c r="L3" s="26" t="s">
        <v>120</v>
      </c>
    </row>
    <row r="4" spans="1:14" ht="18" x14ac:dyDescent="0.35">
      <c r="A4" s="25"/>
      <c r="B4" s="25"/>
      <c r="C4" s="25"/>
      <c r="D4" s="25"/>
      <c r="E4" s="25"/>
      <c r="F4" s="25"/>
      <c r="G4" s="25"/>
      <c r="H4" s="25"/>
      <c r="L4" s="2" t="s">
        <v>8</v>
      </c>
    </row>
    <row r="6" spans="1:14" ht="18" x14ac:dyDescent="0.35">
      <c r="A6" s="1" t="s">
        <v>0</v>
      </c>
    </row>
    <row r="7" spans="1:14" ht="18.75" x14ac:dyDescent="0.4">
      <c r="A7" s="56" t="s">
        <v>119</v>
      </c>
      <c r="B7" s="56"/>
      <c r="E7" s="56" t="s">
        <v>176</v>
      </c>
      <c r="F7" s="56"/>
      <c r="G7" s="56"/>
      <c r="H7" s="56"/>
      <c r="I7" s="56"/>
      <c r="J7" s="56"/>
      <c r="K7" s="36"/>
      <c r="L7" s="36"/>
      <c r="M7" s="36"/>
      <c r="N7" s="36"/>
    </row>
    <row r="8" spans="1:14" ht="18.75" x14ac:dyDescent="0.4">
      <c r="A8" s="2" t="s">
        <v>1</v>
      </c>
      <c r="B8" s="2">
        <v>93400</v>
      </c>
      <c r="E8" s="2" t="s">
        <v>148</v>
      </c>
      <c r="F8" s="2">
        <v>25000</v>
      </c>
      <c r="H8" s="2" t="s">
        <v>20</v>
      </c>
      <c r="I8" s="2">
        <f>B12</f>
        <v>90700</v>
      </c>
      <c r="K8" s="36"/>
      <c r="L8" s="36"/>
      <c r="M8" s="36"/>
      <c r="N8" s="36"/>
    </row>
    <row r="9" spans="1:14" ht="18.75" x14ac:dyDescent="0.4">
      <c r="A9" s="2" t="s">
        <v>28</v>
      </c>
      <c r="B9" s="2">
        <v>9000</v>
      </c>
      <c r="E9" s="2" t="s">
        <v>44</v>
      </c>
      <c r="F9" s="2" t="s">
        <v>177</v>
      </c>
      <c r="H9" s="2" t="s">
        <v>174</v>
      </c>
      <c r="I9" s="2">
        <f>F12</f>
        <v>20000</v>
      </c>
      <c r="K9" s="36"/>
      <c r="L9" s="36"/>
      <c r="M9" s="36"/>
      <c r="N9" s="36"/>
    </row>
    <row r="10" spans="1:14" ht="19.5" thickBot="1" x14ac:dyDescent="0.45">
      <c r="B10" s="3">
        <f>B8-B9</f>
        <v>84400</v>
      </c>
      <c r="F10" s="2">
        <f>25000/125</f>
        <v>200</v>
      </c>
      <c r="I10" s="4">
        <f>I8+I9</f>
        <v>110700</v>
      </c>
      <c r="J10" s="23" t="s">
        <v>120</v>
      </c>
      <c r="K10" s="36"/>
      <c r="L10" s="36"/>
      <c r="M10" s="36"/>
      <c r="N10" s="36"/>
    </row>
    <row r="11" spans="1:14" ht="19.5" thickTop="1" x14ac:dyDescent="0.4">
      <c r="A11" s="2" t="s">
        <v>2</v>
      </c>
      <c r="B11" s="2">
        <f>9000*0.7</f>
        <v>6300</v>
      </c>
      <c r="E11" s="2" t="s">
        <v>45</v>
      </c>
      <c r="F11" s="2" t="s">
        <v>178</v>
      </c>
      <c r="J11" s="23" t="s">
        <v>8</v>
      </c>
      <c r="K11" s="36"/>
      <c r="L11" s="36"/>
      <c r="M11" s="36"/>
      <c r="N11" s="36"/>
    </row>
    <row r="12" spans="1:14" ht="17.25" thickBot="1" x14ac:dyDescent="0.35">
      <c r="B12" s="6">
        <f>B10+B11</f>
        <v>90700</v>
      </c>
      <c r="F12" s="2">
        <f>200*100</f>
        <v>20000</v>
      </c>
    </row>
    <row r="13" spans="1:14" ht="18" thickTop="1" thickBot="1" x14ac:dyDescent="0.35"/>
    <row r="14" spans="1:14" ht="18.75" thickBot="1" x14ac:dyDescent="0.4">
      <c r="A14" s="50" t="s">
        <v>121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</row>
    <row r="15" spans="1:14" x14ac:dyDescent="0.3">
      <c r="A15" s="23">
        <v>1</v>
      </c>
      <c r="B15" s="2" t="s">
        <v>122</v>
      </c>
      <c r="E15" s="2" t="s">
        <v>41</v>
      </c>
      <c r="F15" s="2" t="s">
        <v>127</v>
      </c>
      <c r="L15" s="2" t="s">
        <v>128</v>
      </c>
    </row>
    <row r="16" spans="1:14" x14ac:dyDescent="0.3">
      <c r="A16" s="23">
        <v>2</v>
      </c>
      <c r="B16" s="2" t="s">
        <v>125</v>
      </c>
      <c r="E16" s="2" t="s">
        <v>116</v>
      </c>
      <c r="L16" s="2" t="s">
        <v>8</v>
      </c>
    </row>
    <row r="17" spans="1:12" x14ac:dyDescent="0.3">
      <c r="A17" s="23">
        <v>3</v>
      </c>
      <c r="B17" s="2" t="s">
        <v>86</v>
      </c>
      <c r="E17" s="2" t="s">
        <v>41</v>
      </c>
      <c r="L17" s="2" t="s">
        <v>129</v>
      </c>
    </row>
    <row r="18" spans="1:12" x14ac:dyDescent="0.3">
      <c r="A18" s="23">
        <v>4</v>
      </c>
      <c r="B18" s="2" t="s">
        <v>124</v>
      </c>
      <c r="E18" s="2" t="s">
        <v>126</v>
      </c>
      <c r="L18" s="2" t="s">
        <v>25</v>
      </c>
    </row>
    <row r="20" spans="1:12" ht="18" x14ac:dyDescent="0.35">
      <c r="A20" s="1" t="s">
        <v>3</v>
      </c>
    </row>
    <row r="21" spans="1:12" x14ac:dyDescent="0.3">
      <c r="A21" s="2" t="s">
        <v>130</v>
      </c>
    </row>
    <row r="22" spans="1:12" ht="18" x14ac:dyDescent="0.35">
      <c r="A22" s="7">
        <f>SUM(90000*0.03)*7/12</f>
        <v>1575</v>
      </c>
      <c r="B22" s="2" t="s">
        <v>4</v>
      </c>
    </row>
    <row r="24" spans="1:12" x14ac:dyDescent="0.3">
      <c r="A24" s="2">
        <f>A22</f>
        <v>1575</v>
      </c>
      <c r="B24" s="2" t="s">
        <v>5</v>
      </c>
    </row>
    <row r="25" spans="1:12" x14ac:dyDescent="0.3">
      <c r="A25" s="2">
        <f>SUM(1575*4)/7</f>
        <v>900</v>
      </c>
      <c r="B25" s="2" t="s">
        <v>6</v>
      </c>
    </row>
    <row r="29" spans="1:12" ht="18" x14ac:dyDescent="0.35">
      <c r="A29" s="8" t="s">
        <v>7</v>
      </c>
    </row>
    <row r="30" spans="1:12" x14ac:dyDescent="0.3">
      <c r="A30" s="2">
        <f>A22</f>
        <v>1575</v>
      </c>
      <c r="E30" s="2" t="s">
        <v>20</v>
      </c>
      <c r="F30" s="2">
        <v>675</v>
      </c>
    </row>
    <row r="31" spans="1:12" x14ac:dyDescent="0.3">
      <c r="A31" s="2">
        <f>A25</f>
        <v>900</v>
      </c>
      <c r="E31" s="2" t="s">
        <v>34</v>
      </c>
      <c r="F31" s="2">
        <v>450</v>
      </c>
    </row>
    <row r="32" spans="1:12" ht="18.75" thickBot="1" x14ac:dyDescent="0.4">
      <c r="A32" s="9">
        <f>A24-A25</f>
        <v>675</v>
      </c>
      <c r="B32" s="2" t="s">
        <v>8</v>
      </c>
      <c r="C32" s="2" t="s">
        <v>9</v>
      </c>
      <c r="F32" s="4">
        <f>F30-F31</f>
        <v>225</v>
      </c>
      <c r="G32" s="2" t="s">
        <v>8</v>
      </c>
      <c r="H32" s="2" t="s">
        <v>9</v>
      </c>
    </row>
    <row r="33" spans="1:14" ht="17.25" thickTop="1" x14ac:dyDescent="0.3"/>
    <row r="34" spans="1:14" ht="18" x14ac:dyDescent="0.35">
      <c r="A34" s="1" t="s">
        <v>10</v>
      </c>
    </row>
    <row r="35" spans="1:14" x14ac:dyDescent="0.3">
      <c r="A35" s="2">
        <v>44100</v>
      </c>
      <c r="D35" s="2">
        <f>A37</f>
        <v>45000</v>
      </c>
    </row>
    <row r="36" spans="1:14" x14ac:dyDescent="0.3">
      <c r="A36" s="2">
        <f>A25</f>
        <v>900</v>
      </c>
      <c r="D36" s="28">
        <f>A41</f>
        <v>9000</v>
      </c>
    </row>
    <row r="37" spans="1:14" ht="18.75" thickBot="1" x14ac:dyDescent="0.4">
      <c r="A37" s="9">
        <f>A35+A36</f>
        <v>45000</v>
      </c>
      <c r="D37" s="4">
        <f>A37-D36</f>
        <v>36000</v>
      </c>
      <c r="E37" s="24" t="s">
        <v>266</v>
      </c>
    </row>
    <row r="38" spans="1:14" ht="17.25" thickTop="1" x14ac:dyDescent="0.3"/>
    <row r="39" spans="1:14" ht="18" x14ac:dyDescent="0.35">
      <c r="A39" s="1" t="s">
        <v>131</v>
      </c>
    </row>
    <row r="40" spans="1:14" x14ac:dyDescent="0.3">
      <c r="A40" s="2" t="s">
        <v>256</v>
      </c>
      <c r="C40" s="2" t="s">
        <v>257</v>
      </c>
    </row>
    <row r="41" spans="1:14" ht="18" x14ac:dyDescent="0.35">
      <c r="A41" s="7">
        <f>45000/5</f>
        <v>9000</v>
      </c>
      <c r="B41" s="2" t="s">
        <v>25</v>
      </c>
      <c r="C41" s="2" t="s">
        <v>258</v>
      </c>
    </row>
    <row r="42" spans="1:14" ht="17.25" thickBot="1" x14ac:dyDescent="0.35"/>
    <row r="43" spans="1:14" ht="18.75" thickBot="1" x14ac:dyDescent="0.4">
      <c r="A43" s="50" t="s">
        <v>132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2"/>
    </row>
    <row r="44" spans="1:14" x14ac:dyDescent="0.3">
      <c r="A44" s="23">
        <v>1</v>
      </c>
      <c r="B44" s="2" t="s">
        <v>69</v>
      </c>
      <c r="D44" s="2" t="s">
        <v>116</v>
      </c>
      <c r="F44" s="2" t="s">
        <v>133</v>
      </c>
      <c r="H44" s="30"/>
      <c r="L44" s="31" t="s">
        <v>135</v>
      </c>
    </row>
    <row r="45" spans="1:14" x14ac:dyDescent="0.3">
      <c r="A45" s="23">
        <v>2</v>
      </c>
      <c r="B45" s="2" t="s">
        <v>91</v>
      </c>
      <c r="D45" s="2" t="s">
        <v>41</v>
      </c>
      <c r="F45" s="2" t="s">
        <v>134</v>
      </c>
      <c r="L45" s="2" t="s">
        <v>8</v>
      </c>
    </row>
    <row r="46" spans="1:14" x14ac:dyDescent="0.3">
      <c r="A46" s="23"/>
    </row>
    <row r="47" spans="1:14" ht="18" x14ac:dyDescent="0.35">
      <c r="A47" s="1" t="s">
        <v>143</v>
      </c>
    </row>
    <row r="48" spans="1:14" ht="18" x14ac:dyDescent="0.35">
      <c r="A48" s="2">
        <v>5400</v>
      </c>
      <c r="B48" s="2" t="s">
        <v>136</v>
      </c>
      <c r="D48" s="2" t="s">
        <v>138</v>
      </c>
      <c r="F48" s="2" t="s">
        <v>140</v>
      </c>
      <c r="G48" s="7">
        <f>2*300</f>
        <v>600</v>
      </c>
      <c r="H48" s="2" t="s">
        <v>36</v>
      </c>
    </row>
    <row r="49" spans="1:14" ht="18" x14ac:dyDescent="0.35">
      <c r="A49" s="2">
        <f>A48/18</f>
        <v>300</v>
      </c>
      <c r="B49" s="2" t="s">
        <v>137</v>
      </c>
      <c r="D49" s="2" t="s">
        <v>139</v>
      </c>
      <c r="F49" s="2" t="s">
        <v>141</v>
      </c>
      <c r="G49" s="7">
        <f>16*300</f>
        <v>4800</v>
      </c>
      <c r="H49" s="2" t="s">
        <v>142</v>
      </c>
    </row>
    <row r="50" spans="1:14" ht="17.25" thickBot="1" x14ac:dyDescent="0.35"/>
    <row r="51" spans="1:14" ht="18.75" thickBot="1" x14ac:dyDescent="0.4">
      <c r="A51" s="50" t="s">
        <v>144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</row>
    <row r="52" spans="1:14" x14ac:dyDescent="0.3">
      <c r="A52" s="26">
        <v>1</v>
      </c>
      <c r="B52" s="27" t="s">
        <v>40</v>
      </c>
      <c r="C52" s="27"/>
      <c r="D52" s="27" t="s">
        <v>41</v>
      </c>
      <c r="E52" s="27"/>
      <c r="F52" s="27" t="s">
        <v>146</v>
      </c>
      <c r="G52" s="27"/>
      <c r="H52" s="27"/>
      <c r="L52" s="27" t="s">
        <v>120</v>
      </c>
    </row>
    <row r="53" spans="1:14" ht="18" x14ac:dyDescent="0.35">
      <c r="A53" s="25">
        <v>2</v>
      </c>
      <c r="B53" s="27" t="s">
        <v>42</v>
      </c>
      <c r="C53" s="27"/>
      <c r="D53" s="27" t="s">
        <v>145</v>
      </c>
      <c r="E53" s="27"/>
      <c r="F53" s="27" t="s">
        <v>146</v>
      </c>
      <c r="G53" s="27"/>
      <c r="H53" s="27"/>
      <c r="L53" s="27" t="s">
        <v>22</v>
      </c>
    </row>
    <row r="54" spans="1:14" ht="18" x14ac:dyDescent="0.35">
      <c r="A54" s="25"/>
      <c r="B54" s="25"/>
      <c r="C54" s="25"/>
      <c r="D54" s="25"/>
      <c r="E54" s="25"/>
      <c r="F54" s="25"/>
      <c r="G54" s="25"/>
      <c r="H54" s="25"/>
    </row>
    <row r="55" spans="1:14" ht="18" x14ac:dyDescent="0.35">
      <c r="A55" s="25"/>
      <c r="B55" s="25"/>
      <c r="C55" s="25"/>
      <c r="D55" s="25"/>
      <c r="E55" s="25"/>
      <c r="F55" s="25"/>
      <c r="G55" s="25"/>
      <c r="H55" s="25"/>
    </row>
    <row r="56" spans="1:14" ht="18" x14ac:dyDescent="0.35">
      <c r="A56" s="25"/>
      <c r="B56" s="25"/>
      <c r="C56" s="25"/>
      <c r="D56" s="25"/>
      <c r="E56" s="25"/>
      <c r="F56" s="25"/>
      <c r="G56" s="25"/>
      <c r="H56" s="25"/>
    </row>
    <row r="57" spans="1:14" ht="18" x14ac:dyDescent="0.35">
      <c r="A57" s="27" t="s">
        <v>147</v>
      </c>
      <c r="B57" s="25"/>
      <c r="C57" s="25"/>
      <c r="D57" s="25"/>
      <c r="E57" s="25"/>
      <c r="F57" s="25"/>
      <c r="G57" s="25"/>
      <c r="H57" s="25"/>
    </row>
    <row r="58" spans="1:14" ht="18" x14ac:dyDescent="0.35">
      <c r="A58" s="25"/>
      <c r="B58" s="25"/>
      <c r="C58" s="25"/>
      <c r="D58" s="25"/>
      <c r="E58" s="25"/>
      <c r="F58" s="25"/>
      <c r="G58" s="25"/>
      <c r="H58" s="25"/>
    </row>
    <row r="59" spans="1:14" ht="18.75" x14ac:dyDescent="0.4">
      <c r="A59" s="57" t="s">
        <v>1</v>
      </c>
      <c r="B59" s="57"/>
      <c r="C59" s="25"/>
      <c r="D59" s="57" t="s">
        <v>144</v>
      </c>
      <c r="E59" s="57"/>
      <c r="F59" s="25"/>
      <c r="G59" s="25"/>
      <c r="H59" s="25"/>
    </row>
    <row r="60" spans="1:14" x14ac:dyDescent="0.3">
      <c r="A60" s="32" t="s">
        <v>148</v>
      </c>
      <c r="B60" s="27">
        <v>10000</v>
      </c>
      <c r="C60" s="27"/>
      <c r="D60" s="27" t="s">
        <v>153</v>
      </c>
      <c r="E60" s="27"/>
      <c r="F60" s="27"/>
      <c r="G60" s="27"/>
      <c r="H60" s="27"/>
    </row>
    <row r="61" spans="1:14" x14ac:dyDescent="0.3">
      <c r="A61" s="27" t="s">
        <v>149</v>
      </c>
      <c r="B61" s="27" t="s">
        <v>150</v>
      </c>
      <c r="C61" s="27"/>
      <c r="D61" s="33" t="s">
        <v>154</v>
      </c>
      <c r="E61" s="32">
        <v>0.1</v>
      </c>
      <c r="F61" s="27"/>
      <c r="G61" s="27"/>
      <c r="H61" s="27"/>
    </row>
    <row r="62" spans="1:14" x14ac:dyDescent="0.3">
      <c r="A62" s="27"/>
      <c r="B62" s="27">
        <f>10000/125</f>
        <v>80</v>
      </c>
      <c r="C62" s="27"/>
      <c r="D62" s="27">
        <f>8000*0.1</f>
        <v>800</v>
      </c>
      <c r="E62" s="27" t="s">
        <v>155</v>
      </c>
      <c r="F62" s="27"/>
      <c r="G62" s="27"/>
      <c r="H62" s="27"/>
    </row>
    <row r="63" spans="1:14" x14ac:dyDescent="0.3">
      <c r="A63" s="27" t="s">
        <v>151</v>
      </c>
      <c r="B63" s="27" t="s">
        <v>152</v>
      </c>
      <c r="C63" s="27"/>
      <c r="D63" s="27"/>
      <c r="E63" s="27" t="s">
        <v>156</v>
      </c>
      <c r="F63" s="27"/>
      <c r="G63" s="27"/>
      <c r="H63" s="27"/>
    </row>
    <row r="64" spans="1:14" x14ac:dyDescent="0.3">
      <c r="A64" s="27"/>
      <c r="B64" s="27">
        <f>80*100</f>
        <v>8000</v>
      </c>
      <c r="C64" s="27"/>
      <c r="D64" s="27"/>
      <c r="E64" s="27"/>
      <c r="F64" s="27"/>
      <c r="G64" s="27"/>
      <c r="H64" s="27"/>
    </row>
    <row r="65" spans="1:14" x14ac:dyDescent="0.3">
      <c r="A65" s="27"/>
      <c r="B65" s="27"/>
      <c r="C65" s="27"/>
      <c r="D65" s="27"/>
      <c r="E65" s="27"/>
      <c r="F65" s="27"/>
      <c r="G65" s="27"/>
      <c r="H65" s="27"/>
    </row>
    <row r="66" spans="1:14" ht="18" x14ac:dyDescent="0.35">
      <c r="A66" s="34" t="s">
        <v>157</v>
      </c>
      <c r="B66" s="27"/>
      <c r="C66" s="27"/>
      <c r="D66" s="27"/>
      <c r="E66" s="27"/>
      <c r="F66" s="27"/>
      <c r="G66" s="27"/>
      <c r="H66" s="27"/>
    </row>
    <row r="67" spans="1:14" x14ac:dyDescent="0.3">
      <c r="A67" s="27" t="s">
        <v>20</v>
      </c>
      <c r="B67" s="33">
        <v>940000</v>
      </c>
      <c r="C67" s="27"/>
      <c r="D67" s="27" t="s">
        <v>20</v>
      </c>
      <c r="E67" s="33">
        <f>B69</f>
        <v>940800</v>
      </c>
      <c r="F67" s="27"/>
      <c r="G67" s="27"/>
      <c r="H67" s="27"/>
    </row>
    <row r="68" spans="1:14" x14ac:dyDescent="0.3">
      <c r="A68" s="27" t="s">
        <v>158</v>
      </c>
      <c r="B68" s="33">
        <v>800</v>
      </c>
      <c r="C68" s="27"/>
      <c r="D68" s="27" t="s">
        <v>166</v>
      </c>
      <c r="E68" s="33">
        <f>42000-17000</f>
        <v>25000</v>
      </c>
      <c r="F68" s="27"/>
      <c r="G68" s="27"/>
      <c r="H68" s="27"/>
    </row>
    <row r="69" spans="1:14" ht="17.25" thickBot="1" x14ac:dyDescent="0.35">
      <c r="A69" s="27"/>
      <c r="B69" s="35">
        <f>B67+B68</f>
        <v>940800</v>
      </c>
      <c r="C69" s="27"/>
      <c r="D69" s="27"/>
      <c r="E69" s="35">
        <f>E67-E68</f>
        <v>915800</v>
      </c>
      <c r="F69" s="27"/>
      <c r="G69" s="27"/>
      <c r="H69" s="27"/>
    </row>
    <row r="70" spans="1:14" ht="17.25" thickTop="1" x14ac:dyDescent="0.3">
      <c r="A70" s="27"/>
      <c r="B70" s="27"/>
      <c r="C70" s="27"/>
      <c r="D70" s="27"/>
      <c r="E70" s="27"/>
      <c r="F70" s="27"/>
      <c r="G70" s="27"/>
      <c r="H70" s="27"/>
    </row>
    <row r="71" spans="1:14" ht="18" x14ac:dyDescent="0.35">
      <c r="A71" s="34" t="s">
        <v>159</v>
      </c>
      <c r="B71" s="27"/>
      <c r="C71" s="27"/>
      <c r="D71" s="27"/>
      <c r="E71" s="27"/>
      <c r="F71" s="27"/>
      <c r="G71" s="27"/>
      <c r="H71" s="27"/>
    </row>
    <row r="72" spans="1:14" x14ac:dyDescent="0.3">
      <c r="A72" s="27" t="s">
        <v>20</v>
      </c>
      <c r="B72" s="33">
        <v>57000</v>
      </c>
      <c r="C72" s="27"/>
      <c r="D72" s="27"/>
      <c r="E72" s="27"/>
      <c r="F72" s="27"/>
      <c r="G72" s="27"/>
      <c r="H72" s="27"/>
    </row>
    <row r="73" spans="1:14" x14ac:dyDescent="0.3">
      <c r="A73" s="27" t="s">
        <v>158</v>
      </c>
      <c r="B73" s="33">
        <v>800</v>
      </c>
      <c r="C73" s="27"/>
      <c r="D73" s="27"/>
      <c r="E73" s="27"/>
      <c r="F73" s="27"/>
      <c r="G73" s="27"/>
      <c r="H73" s="27"/>
    </row>
    <row r="74" spans="1:14" ht="18.75" thickBot="1" x14ac:dyDescent="0.4">
      <c r="A74" s="27"/>
      <c r="B74" s="71">
        <f>B72+B73</f>
        <v>57800</v>
      </c>
      <c r="C74" s="26" t="s">
        <v>22</v>
      </c>
      <c r="D74" s="27"/>
      <c r="E74" s="27"/>
      <c r="F74" s="27"/>
      <c r="G74" s="27"/>
      <c r="H74" s="27"/>
    </row>
    <row r="75" spans="1:14" ht="17.25" thickTop="1" x14ac:dyDescent="0.3">
      <c r="A75" s="27"/>
      <c r="B75" s="27"/>
      <c r="C75" s="27"/>
      <c r="D75" s="27"/>
      <c r="E75" s="27"/>
      <c r="F75" s="27"/>
      <c r="G75" s="27"/>
      <c r="H75" s="27"/>
    </row>
    <row r="76" spans="1:14" ht="18" x14ac:dyDescent="0.35">
      <c r="A76" s="1" t="s">
        <v>160</v>
      </c>
    </row>
    <row r="77" spans="1:14" x14ac:dyDescent="0.3">
      <c r="A77" s="18"/>
      <c r="B77" s="53" t="s">
        <v>29</v>
      </c>
      <c r="C77" s="53"/>
      <c r="D77" s="18"/>
      <c r="F77" s="18"/>
      <c r="G77" s="53" t="s">
        <v>30</v>
      </c>
      <c r="H77" s="53"/>
      <c r="I77" s="18"/>
      <c r="K77" s="18"/>
      <c r="L77" s="53" t="s">
        <v>31</v>
      </c>
      <c r="M77" s="53"/>
      <c r="N77" s="18"/>
    </row>
    <row r="78" spans="1:14" x14ac:dyDescent="0.3">
      <c r="A78" s="2" t="s">
        <v>32</v>
      </c>
      <c r="B78" s="2">
        <v>120000</v>
      </c>
      <c r="C78" s="19" t="s">
        <v>31</v>
      </c>
      <c r="D78" s="2">
        <v>30000</v>
      </c>
      <c r="F78" s="2" t="s">
        <v>31</v>
      </c>
      <c r="G78" s="2">
        <f>A89</f>
        <v>13500</v>
      </c>
      <c r="H78" s="19" t="s">
        <v>32</v>
      </c>
      <c r="I78" s="2">
        <f>120000-95000</f>
        <v>25000</v>
      </c>
      <c r="K78" s="2" t="s">
        <v>29</v>
      </c>
      <c r="L78" s="2">
        <f>D78</f>
        <v>30000</v>
      </c>
      <c r="M78" s="19" t="s">
        <v>33</v>
      </c>
      <c r="N78" s="2">
        <f>G78</f>
        <v>13500</v>
      </c>
    </row>
    <row r="79" spans="1:14" ht="18" x14ac:dyDescent="0.35">
      <c r="A79" s="2" t="s">
        <v>34</v>
      </c>
      <c r="B79" s="2">
        <v>42000</v>
      </c>
      <c r="C79" s="20" t="s">
        <v>35</v>
      </c>
      <c r="D79" s="2">
        <f>B80-D78</f>
        <v>132000</v>
      </c>
      <c r="F79" s="2" t="s">
        <v>35</v>
      </c>
      <c r="G79" s="2">
        <f>I80-G78</f>
        <v>31300</v>
      </c>
      <c r="H79" s="20" t="s">
        <v>36</v>
      </c>
      <c r="I79" s="7">
        <f>I89</f>
        <v>19800</v>
      </c>
      <c r="J79" s="2" t="s">
        <v>11</v>
      </c>
      <c r="K79" s="20" t="s">
        <v>36</v>
      </c>
      <c r="L79" s="7">
        <v>500</v>
      </c>
      <c r="M79" s="20" t="s">
        <v>37</v>
      </c>
      <c r="N79" s="2">
        <v>17000</v>
      </c>
    </row>
    <row r="80" spans="1:14" ht="17.25" thickBot="1" x14ac:dyDescent="0.35">
      <c r="B80" s="21">
        <f>B78+B79</f>
        <v>162000</v>
      </c>
      <c r="C80" s="20"/>
      <c r="D80" s="6">
        <f>D78+D79</f>
        <v>162000</v>
      </c>
      <c r="G80" s="21">
        <f>G78+G79</f>
        <v>44800</v>
      </c>
      <c r="H80" s="20"/>
      <c r="I80" s="6">
        <f>I78+I79</f>
        <v>44800</v>
      </c>
      <c r="L80" s="6">
        <f>L78+L79</f>
        <v>30500</v>
      </c>
      <c r="N80" s="6">
        <f>N78+N79</f>
        <v>30500</v>
      </c>
    </row>
    <row r="81" spans="1:14" ht="18.75" thickTop="1" x14ac:dyDescent="0.35">
      <c r="A81" s="2" t="s">
        <v>32</v>
      </c>
      <c r="B81" s="7">
        <f>D79</f>
        <v>132000</v>
      </c>
      <c r="C81" s="20" t="s">
        <v>12</v>
      </c>
      <c r="H81" s="20" t="s">
        <v>32</v>
      </c>
      <c r="I81" s="7">
        <f>G79</f>
        <v>31300</v>
      </c>
      <c r="J81" s="23" t="s">
        <v>12</v>
      </c>
    </row>
    <row r="83" spans="1:14" ht="18.75" x14ac:dyDescent="0.4">
      <c r="A83" s="56"/>
      <c r="B83" s="56"/>
      <c r="D83" s="22"/>
    </row>
    <row r="86" spans="1:14" x14ac:dyDescent="0.3">
      <c r="A86" s="54" t="s">
        <v>30</v>
      </c>
      <c r="B86" s="54"/>
      <c r="C86" s="54"/>
      <c r="D86" s="54"/>
      <c r="E86" s="54"/>
      <c r="G86" s="55" t="s">
        <v>165</v>
      </c>
      <c r="H86" s="55"/>
      <c r="I86" s="55"/>
      <c r="J86" s="55"/>
      <c r="K86" s="55"/>
    </row>
    <row r="87" spans="1:14" x14ac:dyDescent="0.3">
      <c r="A87" s="2" t="s">
        <v>161</v>
      </c>
      <c r="C87" s="2">
        <f>30000*0.15</f>
        <v>4500</v>
      </c>
      <c r="G87" s="2">
        <f>120000-30000</f>
        <v>90000</v>
      </c>
      <c r="H87" s="2" t="s">
        <v>38</v>
      </c>
      <c r="I87" s="2">
        <f>G87*0.15</f>
        <v>13500</v>
      </c>
    </row>
    <row r="88" spans="1:14" x14ac:dyDescent="0.3">
      <c r="A88" s="2" t="s">
        <v>163</v>
      </c>
      <c r="G88" s="2">
        <v>42000</v>
      </c>
      <c r="H88" s="2" t="s">
        <v>38</v>
      </c>
      <c r="I88" s="2">
        <f>G88*0.15</f>
        <v>6300</v>
      </c>
    </row>
    <row r="89" spans="1:14" x14ac:dyDescent="0.3">
      <c r="A89" s="2">
        <f>4500*3</f>
        <v>13500</v>
      </c>
      <c r="C89" s="2" t="s">
        <v>164</v>
      </c>
      <c r="I89" s="2">
        <f>I87+I88</f>
        <v>19800</v>
      </c>
    </row>
    <row r="90" spans="1:14" ht="17.25" thickBot="1" x14ac:dyDescent="0.35"/>
    <row r="91" spans="1:14" ht="18.75" thickBot="1" x14ac:dyDescent="0.4">
      <c r="A91" s="50" t="s">
        <v>167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2"/>
    </row>
    <row r="92" spans="1:14" x14ac:dyDescent="0.3">
      <c r="A92" s="2" t="s">
        <v>168</v>
      </c>
    </row>
    <row r="94" spans="1:14" x14ac:dyDescent="0.3">
      <c r="A94" s="23">
        <v>1</v>
      </c>
      <c r="B94" s="2" t="s">
        <v>50</v>
      </c>
      <c r="D94" s="2" t="s">
        <v>116</v>
      </c>
      <c r="F94" s="2" t="s">
        <v>170</v>
      </c>
      <c r="M94" s="2" t="s">
        <v>120</v>
      </c>
    </row>
    <row r="95" spans="1:14" x14ac:dyDescent="0.3">
      <c r="A95" s="23">
        <v>2</v>
      </c>
      <c r="B95" s="2" t="s">
        <v>169</v>
      </c>
      <c r="D95" s="2" t="s">
        <v>116</v>
      </c>
      <c r="F95" s="2" t="s">
        <v>171</v>
      </c>
      <c r="M95" s="2" t="s">
        <v>8</v>
      </c>
    </row>
    <row r="96" spans="1:14" x14ac:dyDescent="0.3">
      <c r="A96" s="23">
        <v>3</v>
      </c>
      <c r="B96" s="2" t="s">
        <v>43</v>
      </c>
      <c r="D96" s="2" t="s">
        <v>41</v>
      </c>
      <c r="F96" s="2" t="s">
        <v>172</v>
      </c>
      <c r="M96" s="2" t="s">
        <v>120</v>
      </c>
    </row>
    <row r="97" spans="1:14" x14ac:dyDescent="0.3">
      <c r="M97" s="2" t="s">
        <v>8</v>
      </c>
    </row>
    <row r="98" spans="1:14" ht="18" x14ac:dyDescent="0.35">
      <c r="A98" s="1" t="s">
        <v>173</v>
      </c>
    </row>
    <row r="99" spans="1:14" x14ac:dyDescent="0.3">
      <c r="A99" s="2" t="s">
        <v>20</v>
      </c>
      <c r="B99" s="2">
        <v>1380000</v>
      </c>
    </row>
    <row r="100" spans="1:14" x14ac:dyDescent="0.3">
      <c r="A100" s="2" t="s">
        <v>174</v>
      </c>
      <c r="B100" s="2">
        <v>25000</v>
      </c>
    </row>
    <row r="101" spans="1:14" ht="18.75" thickBot="1" x14ac:dyDescent="0.4">
      <c r="B101" s="4">
        <f>B99-B100</f>
        <v>1355000</v>
      </c>
      <c r="C101" s="2" t="s">
        <v>120</v>
      </c>
    </row>
    <row r="102" spans="1:14" ht="17.25" thickTop="1" x14ac:dyDescent="0.3"/>
    <row r="103" spans="1:14" ht="18" x14ac:dyDescent="0.35">
      <c r="A103" s="1" t="s">
        <v>175</v>
      </c>
    </row>
    <row r="104" spans="1:14" x14ac:dyDescent="0.3">
      <c r="A104" s="2" t="s">
        <v>20</v>
      </c>
      <c r="B104" s="2">
        <v>82600</v>
      </c>
      <c r="D104" s="2" t="s">
        <v>20</v>
      </c>
      <c r="E104" s="2">
        <f>B106</f>
        <v>57600</v>
      </c>
      <c r="G104" s="2" t="s">
        <v>20</v>
      </c>
      <c r="H104" s="2">
        <f>E106</f>
        <v>56100</v>
      </c>
    </row>
    <row r="105" spans="1:14" x14ac:dyDescent="0.3">
      <c r="A105" s="2" t="s">
        <v>174</v>
      </c>
      <c r="B105" s="2">
        <v>25000</v>
      </c>
      <c r="D105" s="2" t="s">
        <v>192</v>
      </c>
      <c r="E105" s="2">
        <v>1500</v>
      </c>
      <c r="G105" s="2" t="s">
        <v>227</v>
      </c>
      <c r="H105" s="2">
        <f>2000-1200</f>
        <v>800</v>
      </c>
      <c r="J105" s="2" t="s">
        <v>228</v>
      </c>
    </row>
    <row r="106" spans="1:14" ht="18.75" thickBot="1" x14ac:dyDescent="0.4">
      <c r="B106" s="9">
        <f>B104-B105</f>
        <v>57600</v>
      </c>
      <c r="E106" s="6">
        <f>E104-E105</f>
        <v>56100</v>
      </c>
      <c r="H106" s="4">
        <f>H104+H105</f>
        <v>56900</v>
      </c>
      <c r="I106" s="23" t="s">
        <v>8</v>
      </c>
    </row>
    <row r="107" spans="1:14" ht="18" thickTop="1" thickBot="1" x14ac:dyDescent="0.35"/>
    <row r="108" spans="1:14" ht="18.75" thickBot="1" x14ac:dyDescent="0.4">
      <c r="A108" s="50" t="s">
        <v>179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2"/>
    </row>
    <row r="109" spans="1:14" ht="18" x14ac:dyDescent="0.35">
      <c r="A109" s="26">
        <v>1</v>
      </c>
      <c r="B109" s="27" t="s">
        <v>179</v>
      </c>
      <c r="C109" s="25"/>
      <c r="D109" s="25"/>
      <c r="E109" s="27" t="s">
        <v>41</v>
      </c>
      <c r="F109" s="25"/>
      <c r="G109" s="27" t="s">
        <v>182</v>
      </c>
      <c r="H109" s="25"/>
      <c r="I109" s="25"/>
      <c r="J109" s="25"/>
      <c r="K109" s="25"/>
      <c r="L109" s="25"/>
      <c r="M109" s="25"/>
      <c r="N109" s="25"/>
    </row>
    <row r="110" spans="1:14" ht="18" x14ac:dyDescent="0.35">
      <c r="A110" s="25"/>
      <c r="B110" s="25"/>
      <c r="C110" s="25"/>
      <c r="D110" s="25"/>
      <c r="E110" s="25"/>
      <c r="F110" s="25"/>
      <c r="G110" s="27" t="s">
        <v>183</v>
      </c>
      <c r="H110" s="25"/>
      <c r="I110" s="25"/>
      <c r="J110" s="26" t="s">
        <v>162</v>
      </c>
      <c r="K110" s="25"/>
      <c r="L110" s="25"/>
      <c r="M110" s="25"/>
      <c r="N110" s="25"/>
    </row>
    <row r="111" spans="1:14" ht="18" x14ac:dyDescent="0.35">
      <c r="A111" s="25"/>
      <c r="B111" s="25"/>
      <c r="C111" s="25"/>
      <c r="D111" s="25"/>
      <c r="E111" s="25"/>
      <c r="F111" s="25"/>
      <c r="G111" s="27" t="s">
        <v>30</v>
      </c>
      <c r="H111" s="25"/>
      <c r="I111" s="25"/>
      <c r="J111" s="26" t="s">
        <v>162</v>
      </c>
      <c r="K111" s="25"/>
      <c r="L111" s="25"/>
      <c r="M111" s="25"/>
      <c r="N111" s="25"/>
    </row>
    <row r="112" spans="1:14" ht="18.75" thickBot="1" x14ac:dyDescent="0.4">
      <c r="A112" s="25"/>
      <c r="B112" s="25"/>
      <c r="C112" s="25"/>
      <c r="D112" s="25"/>
      <c r="E112" s="25"/>
      <c r="F112" s="25"/>
      <c r="G112" s="25"/>
      <c r="H112" s="25"/>
      <c r="I112" s="25"/>
      <c r="J112" s="37" t="s">
        <v>162</v>
      </c>
      <c r="K112" s="26" t="s">
        <v>184</v>
      </c>
      <c r="L112" s="25"/>
      <c r="M112" s="25"/>
      <c r="N112" s="25"/>
    </row>
    <row r="113" spans="1:14" ht="18.75" thickTop="1" x14ac:dyDescent="0.35">
      <c r="A113" s="25"/>
      <c r="B113" s="25"/>
      <c r="C113" s="25"/>
      <c r="D113" s="25"/>
      <c r="E113" s="25"/>
      <c r="F113" s="25"/>
      <c r="G113" s="25"/>
      <c r="H113" s="25"/>
      <c r="I113" s="25"/>
      <c r="J113" s="26"/>
      <c r="K113" s="26"/>
      <c r="L113" s="25"/>
      <c r="M113" s="25"/>
      <c r="N113" s="25"/>
    </row>
    <row r="114" spans="1:14" ht="18" x14ac:dyDescent="0.35">
      <c r="A114" s="25"/>
      <c r="B114" s="25"/>
      <c r="C114" s="25"/>
      <c r="D114" s="25"/>
      <c r="E114" s="25"/>
      <c r="F114" s="25"/>
      <c r="G114" s="25"/>
      <c r="H114" s="25"/>
      <c r="I114" s="25"/>
      <c r="J114" s="26"/>
      <c r="K114" s="26"/>
      <c r="L114" s="25"/>
      <c r="M114" s="25"/>
      <c r="N114" s="25"/>
    </row>
    <row r="115" spans="1:14" ht="18" x14ac:dyDescent="0.35">
      <c r="A115" s="26">
        <v>2</v>
      </c>
      <c r="B115" s="27" t="s">
        <v>60</v>
      </c>
      <c r="C115" s="25"/>
      <c r="D115" s="27" t="s">
        <v>41</v>
      </c>
      <c r="E115" s="25"/>
      <c r="F115" s="27" t="s">
        <v>191</v>
      </c>
      <c r="G115" s="25"/>
      <c r="H115" s="25"/>
      <c r="I115" s="25"/>
      <c r="J115" s="26"/>
      <c r="K115" s="26"/>
      <c r="L115" s="26" t="s">
        <v>25</v>
      </c>
      <c r="M115" s="25"/>
      <c r="N115" s="25"/>
    </row>
    <row r="116" spans="1:14" ht="18" x14ac:dyDescent="0.35">
      <c r="A116" s="25"/>
      <c r="B116" s="25"/>
      <c r="C116" s="25"/>
      <c r="D116" s="25"/>
      <c r="E116" s="25"/>
      <c r="F116" s="25"/>
      <c r="G116" s="25"/>
      <c r="H116" s="25"/>
      <c r="I116" s="25"/>
      <c r="J116" s="26"/>
      <c r="K116" s="26"/>
      <c r="L116" s="26" t="s">
        <v>8</v>
      </c>
      <c r="M116" s="25"/>
      <c r="N116" s="25"/>
    </row>
    <row r="117" spans="1:14" ht="18" x14ac:dyDescent="0.35">
      <c r="A117" s="25"/>
      <c r="B117" s="25"/>
      <c r="C117" s="25"/>
      <c r="D117" s="25"/>
      <c r="E117" s="25"/>
      <c r="F117" s="25"/>
      <c r="G117" s="25"/>
      <c r="H117" s="25"/>
      <c r="I117" s="25"/>
      <c r="J117" s="26"/>
      <c r="K117" s="26"/>
      <c r="L117" s="25"/>
      <c r="M117" s="25"/>
      <c r="N117" s="25"/>
    </row>
    <row r="118" spans="1:14" ht="18" x14ac:dyDescent="0.35">
      <c r="A118" s="25" t="s">
        <v>185</v>
      </c>
      <c r="B118" s="27" t="s">
        <v>186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</row>
    <row r="119" spans="1:14" ht="18" x14ac:dyDescent="0.35">
      <c r="A119" s="26">
        <v>2</v>
      </c>
      <c r="B119" s="27" t="s">
        <v>60</v>
      </c>
      <c r="C119" s="25"/>
      <c r="D119" s="25"/>
      <c r="E119" s="27" t="s">
        <v>41</v>
      </c>
      <c r="F119" s="25"/>
      <c r="G119" s="25"/>
      <c r="H119" s="25"/>
      <c r="I119" s="25"/>
      <c r="J119" s="25"/>
      <c r="K119" s="25"/>
      <c r="L119" s="25"/>
      <c r="M119" s="25"/>
      <c r="N119" s="25"/>
    </row>
    <row r="120" spans="1:14" ht="18" x14ac:dyDescent="0.35">
      <c r="A120" s="25"/>
      <c r="B120" s="27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</row>
    <row r="121" spans="1:14" ht="18" x14ac:dyDescent="0.3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</row>
    <row r="122" spans="1:14" ht="18" x14ac:dyDescent="0.35">
      <c r="A122" s="34" t="s">
        <v>181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</row>
    <row r="123" spans="1:14" x14ac:dyDescent="0.3">
      <c r="A123" s="2" t="s">
        <v>180</v>
      </c>
      <c r="B123" s="2">
        <v>950000</v>
      </c>
      <c r="E123" s="2" t="s">
        <v>41</v>
      </c>
      <c r="F123" s="2">
        <f>B125</f>
        <v>210000</v>
      </c>
    </row>
    <row r="124" spans="1:14" x14ac:dyDescent="0.3">
      <c r="A124" s="2" t="s">
        <v>1</v>
      </c>
      <c r="B124" s="2">
        <v>740000</v>
      </c>
      <c r="E124" s="2" t="s">
        <v>33</v>
      </c>
      <c r="F124" s="2">
        <v>38000</v>
      </c>
    </row>
    <row r="125" spans="1:14" ht="18.75" thickBot="1" x14ac:dyDescent="0.4">
      <c r="B125" s="6">
        <f>B123-B124</f>
        <v>210000</v>
      </c>
      <c r="F125" s="4">
        <f>F123+F124</f>
        <v>248000</v>
      </c>
      <c r="G125" s="2" t="s">
        <v>184</v>
      </c>
    </row>
    <row r="126" spans="1:14" ht="17.25" thickTop="1" x14ac:dyDescent="0.3"/>
    <row r="127" spans="1:14" ht="18" x14ac:dyDescent="0.35">
      <c r="A127" s="1" t="s">
        <v>187</v>
      </c>
    </row>
    <row r="128" spans="1:14" ht="18" x14ac:dyDescent="0.35">
      <c r="A128" s="2" t="s">
        <v>188</v>
      </c>
      <c r="B128" s="7">
        <v>950000</v>
      </c>
      <c r="C128" s="24" t="s">
        <v>129</v>
      </c>
      <c r="H128" s="2">
        <v>820000</v>
      </c>
      <c r="I128" s="2" t="s">
        <v>48</v>
      </c>
    </row>
    <row r="129" spans="1:14" ht="18" x14ac:dyDescent="0.35">
      <c r="A129" s="2" t="s">
        <v>189</v>
      </c>
      <c r="B129" s="2">
        <v>130000</v>
      </c>
      <c r="D129" s="2" t="s">
        <v>190</v>
      </c>
      <c r="H129" s="7">
        <f>820000*0.02</f>
        <v>16400</v>
      </c>
      <c r="I129" s="2" t="s">
        <v>25</v>
      </c>
    </row>
    <row r="130" spans="1:14" ht="17.25" thickBot="1" x14ac:dyDescent="0.35">
      <c r="B130" s="6">
        <f>B128-B129</f>
        <v>820000</v>
      </c>
      <c r="I130" s="2" t="s">
        <v>8</v>
      </c>
    </row>
    <row r="131" spans="1:14" ht="18" thickTop="1" thickBot="1" x14ac:dyDescent="0.35"/>
    <row r="132" spans="1:14" ht="18.75" thickBot="1" x14ac:dyDescent="0.4">
      <c r="A132" s="50" t="s">
        <v>192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2"/>
    </row>
    <row r="133" spans="1:14" x14ac:dyDescent="0.3">
      <c r="A133" s="23">
        <v>1</v>
      </c>
      <c r="B133" s="2" t="s">
        <v>98</v>
      </c>
      <c r="E133" s="2" t="s">
        <v>41</v>
      </c>
      <c r="G133" s="2" t="s">
        <v>195</v>
      </c>
      <c r="M133" s="2" t="s">
        <v>196</v>
      </c>
    </row>
    <row r="134" spans="1:14" x14ac:dyDescent="0.3">
      <c r="A134" s="23">
        <v>2</v>
      </c>
      <c r="B134" s="2" t="s">
        <v>193</v>
      </c>
      <c r="E134" s="2" t="s">
        <v>116</v>
      </c>
      <c r="G134" s="2" t="s">
        <v>197</v>
      </c>
      <c r="M134" s="2" t="s">
        <v>22</v>
      </c>
    </row>
    <row r="135" spans="1:14" x14ac:dyDescent="0.3">
      <c r="A135" s="23">
        <v>3</v>
      </c>
      <c r="B135" s="2" t="s">
        <v>192</v>
      </c>
      <c r="E135" s="29" t="s">
        <v>194</v>
      </c>
      <c r="G135" s="2" t="s">
        <v>198</v>
      </c>
      <c r="M135" s="2" t="s">
        <v>199</v>
      </c>
    </row>
    <row r="136" spans="1:14" x14ac:dyDescent="0.3">
      <c r="A136" s="23">
        <v>4</v>
      </c>
      <c r="B136" s="2" t="s">
        <v>42</v>
      </c>
      <c r="E136" s="2" t="s">
        <v>116</v>
      </c>
      <c r="G136" s="2" t="s">
        <v>200</v>
      </c>
      <c r="M136" s="2" t="s">
        <v>22</v>
      </c>
    </row>
    <row r="138" spans="1:14" ht="18" x14ac:dyDescent="0.35">
      <c r="A138" s="1" t="s">
        <v>201</v>
      </c>
    </row>
    <row r="139" spans="1:14" x14ac:dyDescent="0.3">
      <c r="A139" s="2">
        <f>270000-70000</f>
        <v>200000</v>
      </c>
      <c r="B139" s="2" t="s">
        <v>13</v>
      </c>
      <c r="D139" s="2">
        <f>200000*0.06</f>
        <v>12000</v>
      </c>
    </row>
    <row r="140" spans="1:14" x14ac:dyDescent="0.3">
      <c r="A140" s="2">
        <v>70000</v>
      </c>
      <c r="B140" s="2" t="s">
        <v>202</v>
      </c>
      <c r="D140" s="2">
        <f>SUM(70000*0.06)*4/12</f>
        <v>1400</v>
      </c>
    </row>
    <row r="141" spans="1:14" ht="18" x14ac:dyDescent="0.35">
      <c r="D141" s="10">
        <f>D139+D140</f>
        <v>13400</v>
      </c>
      <c r="E141" s="5" t="s">
        <v>14</v>
      </c>
    </row>
    <row r="143" spans="1:14" x14ac:dyDescent="0.3">
      <c r="A143" s="2" t="s">
        <v>15</v>
      </c>
      <c r="D143" s="2" t="s">
        <v>16</v>
      </c>
      <c r="E143" s="2">
        <v>3600</v>
      </c>
    </row>
    <row r="144" spans="1:14" x14ac:dyDescent="0.3">
      <c r="A144" s="2">
        <f>SUM(12000*3)/12</f>
        <v>3000</v>
      </c>
      <c r="D144" s="2" t="s">
        <v>17</v>
      </c>
      <c r="E144" s="2">
        <f>A144</f>
        <v>3000</v>
      </c>
    </row>
    <row r="145" spans="1:14" ht="17.25" thickBot="1" x14ac:dyDescent="0.35">
      <c r="E145" s="11">
        <f>E143-E144</f>
        <v>600</v>
      </c>
      <c r="F145" s="2" t="s">
        <v>18</v>
      </c>
    </row>
    <row r="146" spans="1:14" ht="17.25" thickTop="1" x14ac:dyDescent="0.3">
      <c r="E146" s="12"/>
    </row>
    <row r="147" spans="1:14" ht="18" x14ac:dyDescent="0.35">
      <c r="A147" s="1" t="s">
        <v>203</v>
      </c>
    </row>
    <row r="148" spans="1:14" x14ac:dyDescent="0.3">
      <c r="A148" s="2" t="s">
        <v>20</v>
      </c>
      <c r="B148" s="2">
        <f>D141</f>
        <v>13400</v>
      </c>
    </row>
    <row r="149" spans="1:14" x14ac:dyDescent="0.3">
      <c r="A149" s="2" t="s">
        <v>21</v>
      </c>
      <c r="B149" s="2">
        <f>E144</f>
        <v>3000</v>
      </c>
    </row>
    <row r="150" spans="1:14" ht="18" x14ac:dyDescent="0.35">
      <c r="B150" s="10">
        <f>B148-B149</f>
        <v>10400</v>
      </c>
      <c r="C150" s="2" t="s">
        <v>22</v>
      </c>
    </row>
    <row r="151" spans="1:14" ht="17.25" thickTop="1" x14ac:dyDescent="0.3"/>
    <row r="152" spans="1:14" ht="18" x14ac:dyDescent="0.35">
      <c r="A152" s="1" t="s">
        <v>204</v>
      </c>
    </row>
    <row r="153" spans="1:14" x14ac:dyDescent="0.3">
      <c r="A153" s="2" t="s">
        <v>23</v>
      </c>
      <c r="B153" s="2">
        <v>189600</v>
      </c>
    </row>
    <row r="154" spans="1:14" x14ac:dyDescent="0.3">
      <c r="A154" s="2" t="s">
        <v>24</v>
      </c>
      <c r="B154" s="12">
        <v>600</v>
      </c>
    </row>
    <row r="155" spans="1:14" x14ac:dyDescent="0.3">
      <c r="A155" s="2" t="s">
        <v>42</v>
      </c>
      <c r="B155" s="12">
        <v>1500</v>
      </c>
    </row>
    <row r="156" spans="1:14" ht="18.75" thickBot="1" x14ac:dyDescent="0.4">
      <c r="B156" s="10">
        <f>B153+B154+B155</f>
        <v>191700</v>
      </c>
      <c r="C156" s="2" t="s">
        <v>26</v>
      </c>
    </row>
    <row r="157" spans="1:14" ht="18" thickTop="1" thickBot="1" x14ac:dyDescent="0.35"/>
    <row r="158" spans="1:14" ht="18.75" thickBot="1" x14ac:dyDescent="0.4">
      <c r="A158" s="50" t="s">
        <v>205</v>
      </c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2"/>
    </row>
    <row r="160" spans="1:14" ht="18.75" x14ac:dyDescent="0.4">
      <c r="A160" s="22" t="s">
        <v>119</v>
      </c>
    </row>
    <row r="161" spans="1:13" x14ac:dyDescent="0.3">
      <c r="A161" s="23">
        <v>1</v>
      </c>
      <c r="B161" s="2" t="s">
        <v>19</v>
      </c>
      <c r="C161" s="2" t="s">
        <v>41</v>
      </c>
      <c r="E161" s="2" t="s">
        <v>206</v>
      </c>
      <c r="M161" s="2" t="s">
        <v>22</v>
      </c>
    </row>
    <row r="162" spans="1:13" x14ac:dyDescent="0.3">
      <c r="A162" s="24">
        <v>2</v>
      </c>
      <c r="B162" s="2" t="s">
        <v>34</v>
      </c>
      <c r="C162" s="2" t="s">
        <v>116</v>
      </c>
      <c r="E162" s="2" t="s">
        <v>274</v>
      </c>
      <c r="M162" s="2" t="s">
        <v>22</v>
      </c>
    </row>
    <row r="164" spans="1:13" ht="18.75" x14ac:dyDescent="0.4">
      <c r="A164" s="22" t="s">
        <v>207</v>
      </c>
    </row>
    <row r="165" spans="1:13" x14ac:dyDescent="0.3">
      <c r="A165" s="23">
        <v>1</v>
      </c>
      <c r="B165" s="2" t="s">
        <v>208</v>
      </c>
      <c r="E165" s="2" t="s">
        <v>275</v>
      </c>
      <c r="F165" s="2" t="s">
        <v>209</v>
      </c>
      <c r="M165" s="2" t="s">
        <v>128</v>
      </c>
    </row>
    <row r="166" spans="1:13" x14ac:dyDescent="0.3">
      <c r="A166" s="24">
        <v>2</v>
      </c>
      <c r="B166" s="2" t="s">
        <v>34</v>
      </c>
      <c r="E166" s="2" t="s">
        <v>116</v>
      </c>
      <c r="F166" s="2" t="s">
        <v>276</v>
      </c>
    </row>
    <row r="168" spans="1:13" ht="18.75" x14ac:dyDescent="0.4">
      <c r="A168" s="22" t="s">
        <v>213</v>
      </c>
    </row>
    <row r="169" spans="1:13" x14ac:dyDescent="0.3">
      <c r="A169" s="31" t="s">
        <v>214</v>
      </c>
    </row>
    <row r="171" spans="1:13" ht="18.75" x14ac:dyDescent="0.4">
      <c r="A171" s="22" t="s">
        <v>215</v>
      </c>
    </row>
    <row r="172" spans="1:13" x14ac:dyDescent="0.3">
      <c r="A172" s="23">
        <v>1</v>
      </c>
      <c r="B172" s="2" t="s">
        <v>34</v>
      </c>
      <c r="D172" s="2" t="s">
        <v>41</v>
      </c>
      <c r="F172" s="2" t="s">
        <v>220</v>
      </c>
      <c r="M172" s="2" t="s">
        <v>22</v>
      </c>
    </row>
    <row r="173" spans="1:13" x14ac:dyDescent="0.3">
      <c r="A173" s="23">
        <v>2</v>
      </c>
      <c r="B173" s="2" t="s">
        <v>216</v>
      </c>
      <c r="D173" s="2" t="s">
        <v>41</v>
      </c>
      <c r="F173" s="2" t="s">
        <v>221</v>
      </c>
      <c r="M173" s="2" t="s">
        <v>8</v>
      </c>
    </row>
    <row r="174" spans="1:13" x14ac:dyDescent="0.3">
      <c r="A174" s="23">
        <v>3</v>
      </c>
      <c r="B174" s="2" t="s">
        <v>217</v>
      </c>
      <c r="D174" s="2" t="s">
        <v>218</v>
      </c>
      <c r="F174" s="2" t="s">
        <v>219</v>
      </c>
      <c r="M174" s="2" t="s">
        <v>196</v>
      </c>
    </row>
    <row r="176" spans="1:13" ht="18.75" x14ac:dyDescent="0.4">
      <c r="A176" s="22" t="s">
        <v>119</v>
      </c>
    </row>
    <row r="177" spans="1:10" ht="18" x14ac:dyDescent="0.35">
      <c r="A177" s="1" t="s">
        <v>210</v>
      </c>
      <c r="E177" s="53" t="s">
        <v>34</v>
      </c>
      <c r="F177" s="53"/>
      <c r="G177" s="53"/>
      <c r="H177" s="53"/>
      <c r="J177" s="2" t="s">
        <v>211</v>
      </c>
    </row>
    <row r="178" spans="1:10" x14ac:dyDescent="0.3">
      <c r="A178" s="2" t="s">
        <v>20</v>
      </c>
      <c r="B178" s="2">
        <v>12600</v>
      </c>
      <c r="F178" s="23" t="s">
        <v>162</v>
      </c>
      <c r="G178" s="19"/>
      <c r="J178" s="2" t="s">
        <v>212</v>
      </c>
    </row>
    <row r="179" spans="1:10" x14ac:dyDescent="0.3">
      <c r="A179" s="2" t="s">
        <v>34</v>
      </c>
      <c r="B179" s="2">
        <v>4200</v>
      </c>
    </row>
    <row r="180" spans="1:10" ht="18.75" thickBot="1" x14ac:dyDescent="0.4">
      <c r="B180" s="10">
        <f>B178-B179</f>
        <v>8400</v>
      </c>
      <c r="C180" s="13" t="s">
        <v>8</v>
      </c>
      <c r="E180" s="53" t="s">
        <v>19</v>
      </c>
      <c r="F180" s="53"/>
      <c r="G180" s="53"/>
      <c r="H180" s="53"/>
    </row>
    <row r="181" spans="1:10" ht="17.25" thickTop="1" x14ac:dyDescent="0.3">
      <c r="G181" s="19"/>
      <c r="H181" s="23" t="s">
        <v>162</v>
      </c>
    </row>
    <row r="182" spans="1:10" ht="18" x14ac:dyDescent="0.35">
      <c r="A182" s="74" t="s">
        <v>222</v>
      </c>
      <c r="G182" s="12"/>
      <c r="H182" s="24"/>
    </row>
    <row r="183" spans="1:10" x14ac:dyDescent="0.3">
      <c r="A183" s="2" t="s">
        <v>20</v>
      </c>
      <c r="B183" s="2">
        <v>22400</v>
      </c>
      <c r="D183" s="2" t="s">
        <v>20</v>
      </c>
      <c r="E183" s="2">
        <v>18200</v>
      </c>
      <c r="G183" s="12" t="s">
        <v>20</v>
      </c>
      <c r="H183" s="75">
        <f>E185</f>
        <v>17750</v>
      </c>
    </row>
    <row r="184" spans="1:10" x14ac:dyDescent="0.3">
      <c r="A184" s="2" t="s">
        <v>19</v>
      </c>
      <c r="B184" s="2">
        <v>4200</v>
      </c>
      <c r="D184" s="2" t="s">
        <v>277</v>
      </c>
      <c r="E184" s="2">
        <v>450</v>
      </c>
      <c r="G184" s="12" t="s">
        <v>278</v>
      </c>
      <c r="H184" s="75">
        <v>1200</v>
      </c>
    </row>
    <row r="185" spans="1:10" ht="18.75" thickBot="1" x14ac:dyDescent="0.4">
      <c r="B185" s="6">
        <f>B183-B184</f>
        <v>18200</v>
      </c>
      <c r="E185" s="6">
        <f>E183-E184</f>
        <v>17750</v>
      </c>
      <c r="G185" s="12"/>
      <c r="H185" s="71">
        <f>H183-H184</f>
        <v>16550</v>
      </c>
      <c r="I185" s="24" t="s">
        <v>22</v>
      </c>
    </row>
    <row r="186" spans="1:10" ht="17.25" thickTop="1" x14ac:dyDescent="0.3">
      <c r="G186" s="12"/>
      <c r="H186" s="24"/>
    </row>
    <row r="187" spans="1:10" ht="18" x14ac:dyDescent="0.35">
      <c r="A187" s="1" t="s">
        <v>223</v>
      </c>
    </row>
    <row r="188" spans="1:10" x14ac:dyDescent="0.3">
      <c r="A188" s="2" t="s">
        <v>224</v>
      </c>
      <c r="B188" s="2">
        <v>1200</v>
      </c>
    </row>
    <row r="189" spans="1:10" x14ac:dyDescent="0.3">
      <c r="A189" s="2" t="s">
        <v>149</v>
      </c>
      <c r="B189" s="2" t="s">
        <v>225</v>
      </c>
    </row>
    <row r="190" spans="1:10" x14ac:dyDescent="0.3">
      <c r="B190" s="2">
        <f>1200/60</f>
        <v>20</v>
      </c>
    </row>
    <row r="191" spans="1:10" x14ac:dyDescent="0.3">
      <c r="A191" s="2" t="s">
        <v>45</v>
      </c>
      <c r="B191" s="2" t="s">
        <v>226</v>
      </c>
    </row>
    <row r="192" spans="1:10" ht="18" x14ac:dyDescent="0.35">
      <c r="B192" s="7">
        <f>20*100</f>
        <v>2000</v>
      </c>
      <c r="C192" s="2" t="s">
        <v>128</v>
      </c>
    </row>
    <row r="194" spans="1:14" ht="17.25" thickBot="1" x14ac:dyDescent="0.35"/>
    <row r="195" spans="1:14" ht="18.75" thickBot="1" x14ac:dyDescent="0.4">
      <c r="A195" s="50" t="s">
        <v>229</v>
      </c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2"/>
    </row>
    <row r="196" spans="1:14" ht="18.75" x14ac:dyDescent="0.4">
      <c r="A196" s="38" t="s">
        <v>119</v>
      </c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</row>
    <row r="197" spans="1:14" ht="18" x14ac:dyDescent="0.35">
      <c r="A197" s="23">
        <v>1</v>
      </c>
      <c r="B197" s="2" t="s">
        <v>30</v>
      </c>
      <c r="D197" s="2" t="s">
        <v>41</v>
      </c>
      <c r="F197" s="2" t="s">
        <v>232</v>
      </c>
      <c r="M197" s="2" t="s">
        <v>25</v>
      </c>
      <c r="N197" s="25"/>
    </row>
    <row r="198" spans="1:14" ht="18" x14ac:dyDescent="0.35">
      <c r="F198" s="2" t="s">
        <v>233</v>
      </c>
      <c r="M198" s="2" t="s">
        <v>8</v>
      </c>
      <c r="N198" s="25"/>
    </row>
    <row r="199" spans="1:14" ht="18" x14ac:dyDescent="0.35">
      <c r="A199" s="25"/>
      <c r="B199" s="25"/>
      <c r="C199" s="25"/>
      <c r="D199" s="25"/>
      <c r="E199" s="25"/>
      <c r="F199" s="2" t="s">
        <v>234</v>
      </c>
      <c r="G199" s="25"/>
      <c r="H199" s="25"/>
      <c r="I199" s="25"/>
      <c r="J199" s="25"/>
      <c r="K199" s="25"/>
      <c r="L199" s="25"/>
      <c r="M199" s="25"/>
      <c r="N199" s="25"/>
    </row>
    <row r="200" spans="1:14" ht="18" x14ac:dyDescent="0.35">
      <c r="A200" s="25"/>
      <c r="B200" s="25"/>
      <c r="C200" s="25"/>
      <c r="D200" s="25"/>
      <c r="E200" s="25"/>
      <c r="G200" s="25"/>
      <c r="H200" s="25"/>
      <c r="I200" s="25"/>
      <c r="J200" s="25"/>
      <c r="K200" s="25"/>
      <c r="L200" s="25"/>
      <c r="M200" s="25"/>
      <c r="N200" s="25"/>
    </row>
    <row r="201" spans="1:14" ht="18" x14ac:dyDescent="0.35">
      <c r="A201" s="1" t="s">
        <v>230</v>
      </c>
    </row>
    <row r="202" spans="1:14" ht="18" x14ac:dyDescent="0.35">
      <c r="A202" s="2" t="s">
        <v>1</v>
      </c>
      <c r="B202" s="7">
        <v>55000</v>
      </c>
      <c r="C202" s="23" t="s">
        <v>129</v>
      </c>
      <c r="E202" s="2">
        <v>42000</v>
      </c>
      <c r="F202" s="2" t="s">
        <v>114</v>
      </c>
      <c r="I202" s="2">
        <f>B204</f>
        <v>13000</v>
      </c>
    </row>
    <row r="203" spans="1:14" ht="18" x14ac:dyDescent="0.35">
      <c r="A203" s="2" t="s">
        <v>231</v>
      </c>
      <c r="B203" s="2">
        <v>42000</v>
      </c>
      <c r="E203" s="7">
        <f>42000*0.2</f>
        <v>8400</v>
      </c>
      <c r="F203" s="2" t="s">
        <v>25</v>
      </c>
      <c r="I203" s="2">
        <f>E203</f>
        <v>8400</v>
      </c>
    </row>
    <row r="204" spans="1:14" ht="18.75" thickBot="1" x14ac:dyDescent="0.4">
      <c r="A204" s="2" t="s">
        <v>30</v>
      </c>
      <c r="B204" s="6">
        <f>B202-B203</f>
        <v>13000</v>
      </c>
      <c r="I204" s="4">
        <f>I202+I203</f>
        <v>21400</v>
      </c>
      <c r="J204" s="2" t="s">
        <v>129</v>
      </c>
    </row>
    <row r="205" spans="1:14" ht="17.25" thickTop="1" x14ac:dyDescent="0.3"/>
    <row r="206" spans="1:14" ht="18.75" x14ac:dyDescent="0.4">
      <c r="A206" s="22" t="s">
        <v>207</v>
      </c>
    </row>
    <row r="207" spans="1:14" x14ac:dyDescent="0.3">
      <c r="A207" s="23">
        <v>1</v>
      </c>
      <c r="B207" s="2" t="s">
        <v>123</v>
      </c>
      <c r="F207" s="2" t="s">
        <v>236</v>
      </c>
    </row>
    <row r="208" spans="1:14" x14ac:dyDescent="0.3">
      <c r="A208" s="23">
        <v>2</v>
      </c>
      <c r="B208" s="2" t="s">
        <v>235</v>
      </c>
      <c r="F208" s="2" t="s">
        <v>237</v>
      </c>
    </row>
    <row r="210" spans="1:13" ht="18.75" x14ac:dyDescent="0.4">
      <c r="A210" s="22" t="s">
        <v>213</v>
      </c>
    </row>
    <row r="211" spans="1:13" x14ac:dyDescent="0.3">
      <c r="A211" s="23">
        <v>1</v>
      </c>
      <c r="B211" s="2" t="s">
        <v>238</v>
      </c>
      <c r="C211" s="2" t="s">
        <v>116</v>
      </c>
      <c r="E211" s="2" t="s">
        <v>240</v>
      </c>
      <c r="L211" s="2" t="s">
        <v>199</v>
      </c>
    </row>
    <row r="212" spans="1:13" x14ac:dyDescent="0.3">
      <c r="B212" s="2" t="s">
        <v>239</v>
      </c>
      <c r="C212" s="2" t="s">
        <v>41</v>
      </c>
      <c r="E212" s="2" t="s">
        <v>241</v>
      </c>
      <c r="L212" s="2" t="s">
        <v>184</v>
      </c>
    </row>
    <row r="214" spans="1:13" ht="18" x14ac:dyDescent="0.35">
      <c r="A214" s="1" t="s">
        <v>242</v>
      </c>
    </row>
    <row r="215" spans="1:13" ht="18" x14ac:dyDescent="0.35">
      <c r="A215" s="14">
        <v>12000</v>
      </c>
      <c r="B215" s="2" t="s">
        <v>36</v>
      </c>
    </row>
    <row r="216" spans="1:13" ht="18" x14ac:dyDescent="0.35">
      <c r="A216" s="15"/>
    </row>
    <row r="217" spans="1:13" ht="18" x14ac:dyDescent="0.35">
      <c r="A217" s="16" t="s">
        <v>243</v>
      </c>
    </row>
    <row r="218" spans="1:13" x14ac:dyDescent="0.3">
      <c r="A218" s="17" t="s">
        <v>244</v>
      </c>
      <c r="B218" s="2">
        <v>25000</v>
      </c>
    </row>
    <row r="219" spans="1:13" x14ac:dyDescent="0.3">
      <c r="A219" s="2" t="s">
        <v>245</v>
      </c>
      <c r="B219" s="2">
        <v>12000</v>
      </c>
    </row>
    <row r="220" spans="1:13" ht="18.75" thickBot="1" x14ac:dyDescent="0.4">
      <c r="B220" s="10">
        <f>B218+B219</f>
        <v>37000</v>
      </c>
      <c r="C220" s="2" t="s">
        <v>184</v>
      </c>
    </row>
    <row r="221" spans="1:13" ht="17.25" thickTop="1" x14ac:dyDescent="0.3">
      <c r="B221" s="12"/>
    </row>
    <row r="223" spans="1:13" ht="18.75" x14ac:dyDescent="0.4">
      <c r="A223" s="39" t="s">
        <v>215</v>
      </c>
      <c r="F223" s="29"/>
    </row>
    <row r="224" spans="1:13" x14ac:dyDescent="0.3">
      <c r="A224" s="23">
        <v>1</v>
      </c>
      <c r="B224" s="2" t="s">
        <v>246</v>
      </c>
      <c r="E224" s="29" t="s">
        <v>247</v>
      </c>
      <c r="G224" s="2" t="s">
        <v>248</v>
      </c>
      <c r="L224" s="2" t="s">
        <v>249</v>
      </c>
      <c r="M224" s="2" t="s">
        <v>135</v>
      </c>
    </row>
    <row r="225" spans="1:13" x14ac:dyDescent="0.3">
      <c r="L225" s="2" t="s">
        <v>250</v>
      </c>
      <c r="M225" s="2" t="s">
        <v>196</v>
      </c>
    </row>
    <row r="226" spans="1:13" x14ac:dyDescent="0.3">
      <c r="M226" s="2" t="s">
        <v>8</v>
      </c>
    </row>
    <row r="227" spans="1:13" ht="18" x14ac:dyDescent="0.35">
      <c r="A227" s="16" t="s">
        <v>251</v>
      </c>
    </row>
    <row r="228" spans="1:13" x14ac:dyDescent="0.3">
      <c r="A228" s="17" t="s">
        <v>27</v>
      </c>
      <c r="B228" s="2">
        <f>H106</f>
        <v>56900</v>
      </c>
      <c r="C228" s="2" t="s">
        <v>49</v>
      </c>
      <c r="E228" s="2" t="s">
        <v>46</v>
      </c>
      <c r="F228" s="2">
        <v>3000</v>
      </c>
    </row>
    <row r="229" spans="1:13" ht="18" x14ac:dyDescent="0.35">
      <c r="A229" s="17"/>
      <c r="B229" s="7">
        <f>B228*0.04</f>
        <v>2276</v>
      </c>
      <c r="C229" s="2" t="s">
        <v>8</v>
      </c>
      <c r="E229" s="2" t="s">
        <v>47</v>
      </c>
      <c r="F229" s="2">
        <f>B229</f>
        <v>2276</v>
      </c>
    </row>
    <row r="230" spans="1:13" ht="18.75" thickBot="1" x14ac:dyDescent="0.4">
      <c r="A230" s="15"/>
      <c r="B230" s="15"/>
      <c r="F230" s="4">
        <f>F228-F229</f>
        <v>724</v>
      </c>
      <c r="H230" s="2" t="s">
        <v>196</v>
      </c>
    </row>
    <row r="231" spans="1:13" ht="18.75" thickTop="1" x14ac:dyDescent="0.35">
      <c r="A231" s="15"/>
      <c r="B231" s="12"/>
    </row>
  </sheetData>
  <mergeCells count="21">
    <mergeCell ref="A195:N195"/>
    <mergeCell ref="A1:N1"/>
    <mergeCell ref="A14:N14"/>
    <mergeCell ref="A43:N43"/>
    <mergeCell ref="A51:N51"/>
    <mergeCell ref="A59:B59"/>
    <mergeCell ref="D59:E59"/>
    <mergeCell ref="A7:B7"/>
    <mergeCell ref="A86:E86"/>
    <mergeCell ref="G86:K86"/>
    <mergeCell ref="A91:N91"/>
    <mergeCell ref="E7:J7"/>
    <mergeCell ref="B77:C77"/>
    <mergeCell ref="G77:H77"/>
    <mergeCell ref="L77:M77"/>
    <mergeCell ref="A83:B83"/>
    <mergeCell ref="A108:N108"/>
    <mergeCell ref="A132:N132"/>
    <mergeCell ref="A158:N158"/>
    <mergeCell ref="E177:H177"/>
    <mergeCell ref="E180:H180"/>
  </mergeCells>
  <pageMargins left="0.7" right="0.7" top="0.75" bottom="0.75" header="0.3" footer="0.3"/>
  <pageSetup paperSize="9" orientation="landscape" r:id="rId1"/>
  <headerFooter>
    <oddHeader>&amp;L&amp;"Comic Sans MS,Regular"Company Account&amp;C&amp;"Comic Sans MS,Regular"Workings&amp;R&amp;"Comic Sans MS,Regular"2022 - Aiken Ltd</oddHeader>
    <oddFooter>&amp;R&amp;"Comic Sans MS,Regular"&amp;P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16100-18B0-498F-BBCF-6A595E6A63F2}">
  <dimension ref="A1:E39"/>
  <sheetViews>
    <sheetView view="pageLayout" zoomScaleNormal="100" workbookViewId="0">
      <selection activeCell="G5" sqref="G5"/>
    </sheetView>
  </sheetViews>
  <sheetFormatPr defaultRowHeight="16.5" x14ac:dyDescent="0.3"/>
  <cols>
    <col min="1" max="1" width="22.7109375" style="2" customWidth="1"/>
    <col min="2" max="2" width="9.140625" style="2"/>
    <col min="3" max="3" width="9.42578125" style="2" bestFit="1" customWidth="1"/>
    <col min="4" max="4" width="10.5703125" style="2" customWidth="1"/>
    <col min="5" max="5" width="11.140625" style="2" bestFit="1" customWidth="1"/>
    <col min="6" max="16384" width="9.140625" style="2"/>
  </cols>
  <sheetData>
    <row r="1" spans="1:5" ht="18" x14ac:dyDescent="0.35">
      <c r="A1" s="59" t="s">
        <v>252</v>
      </c>
      <c r="B1" s="59"/>
      <c r="C1" s="59"/>
      <c r="D1" s="59"/>
      <c r="E1" s="59"/>
    </row>
    <row r="2" spans="1:5" x14ac:dyDescent="0.3">
      <c r="A2" s="2" t="s">
        <v>50</v>
      </c>
      <c r="B2" s="40" t="s">
        <v>65</v>
      </c>
      <c r="C2" s="44"/>
      <c r="D2" s="43"/>
      <c r="E2" s="43">
        <f>'Working '!B101</f>
        <v>1355000</v>
      </c>
    </row>
    <row r="3" spans="1:5" ht="18" x14ac:dyDescent="0.35">
      <c r="A3" s="1" t="s">
        <v>51</v>
      </c>
      <c r="B3" s="41"/>
      <c r="C3" s="44"/>
      <c r="D3" s="43"/>
      <c r="E3" s="43"/>
    </row>
    <row r="4" spans="1:5" x14ac:dyDescent="0.3">
      <c r="A4" s="2" t="s">
        <v>52</v>
      </c>
      <c r="B4" s="41"/>
      <c r="C4" s="44"/>
      <c r="D4" s="43">
        <v>85600</v>
      </c>
      <c r="E4" s="43"/>
    </row>
    <row r="5" spans="1:5" x14ac:dyDescent="0.3">
      <c r="A5" s="2" t="s">
        <v>53</v>
      </c>
      <c r="B5" s="40" t="s">
        <v>253</v>
      </c>
      <c r="C5" s="44"/>
      <c r="D5" s="43">
        <f>'Working '!E69</f>
        <v>915800</v>
      </c>
      <c r="E5" s="43"/>
    </row>
    <row r="6" spans="1:5" x14ac:dyDescent="0.3">
      <c r="B6" s="41"/>
      <c r="C6" s="44"/>
      <c r="D6" s="45">
        <f>D4+D5</f>
        <v>1001400</v>
      </c>
      <c r="E6" s="43"/>
    </row>
    <row r="7" spans="1:5" x14ac:dyDescent="0.3">
      <c r="A7" s="2" t="s">
        <v>55</v>
      </c>
      <c r="B7" s="40" t="s">
        <v>56</v>
      </c>
      <c r="C7" s="44"/>
      <c r="D7" s="46">
        <f>'Working '!I10</f>
        <v>110700</v>
      </c>
      <c r="E7" s="43"/>
    </row>
    <row r="8" spans="1:5" x14ac:dyDescent="0.3">
      <c r="B8" s="41"/>
      <c r="C8" s="44"/>
      <c r="D8" s="43"/>
      <c r="E8" s="46">
        <f>D6-D7</f>
        <v>890700</v>
      </c>
    </row>
    <row r="9" spans="1:5" ht="18" x14ac:dyDescent="0.35">
      <c r="A9" s="42" t="s">
        <v>57</v>
      </c>
      <c r="B9" s="41"/>
      <c r="C9" s="44"/>
      <c r="D9" s="43"/>
      <c r="E9" s="43">
        <f>E2-E8</f>
        <v>464300</v>
      </c>
    </row>
    <row r="10" spans="1:5" ht="18" x14ac:dyDescent="0.35">
      <c r="A10" s="8" t="s">
        <v>58</v>
      </c>
      <c r="B10" s="41"/>
      <c r="C10" s="44"/>
      <c r="D10" s="43"/>
      <c r="E10" s="43"/>
    </row>
    <row r="11" spans="1:5" ht="18" x14ac:dyDescent="0.35">
      <c r="A11" s="1" t="s">
        <v>59</v>
      </c>
      <c r="B11" s="41"/>
      <c r="C11" s="44"/>
      <c r="D11" s="43"/>
      <c r="E11" s="43"/>
    </row>
    <row r="12" spans="1:5" x14ac:dyDescent="0.3">
      <c r="A12" s="2" t="s">
        <v>60</v>
      </c>
      <c r="B12" s="40" t="s">
        <v>254</v>
      </c>
      <c r="C12" s="44"/>
      <c r="D12" s="43">
        <f>'Working '!H129</f>
        <v>16400</v>
      </c>
      <c r="E12" s="43"/>
    </row>
    <row r="13" spans="1:5" x14ac:dyDescent="0.3">
      <c r="A13" s="2" t="s">
        <v>62</v>
      </c>
      <c r="B13" s="40" t="s">
        <v>61</v>
      </c>
      <c r="C13" s="44"/>
      <c r="D13" s="43">
        <f>'Working '!E203</f>
        <v>8400</v>
      </c>
      <c r="E13" s="43"/>
    </row>
    <row r="14" spans="1:5" x14ac:dyDescent="0.3">
      <c r="A14" s="2" t="s">
        <v>63</v>
      </c>
      <c r="B14" s="40" t="s">
        <v>76</v>
      </c>
      <c r="C14" s="44"/>
      <c r="D14" s="43">
        <f>'Working '!A41</f>
        <v>9000</v>
      </c>
      <c r="E14" s="43"/>
    </row>
    <row r="15" spans="1:5" x14ac:dyDescent="0.3">
      <c r="A15" s="2" t="s">
        <v>255</v>
      </c>
      <c r="B15" s="40"/>
      <c r="C15" s="44"/>
      <c r="D15" s="43">
        <v>17500</v>
      </c>
      <c r="E15" s="43"/>
    </row>
    <row r="16" spans="1:5" x14ac:dyDescent="0.3">
      <c r="A16" s="2" t="s">
        <v>23</v>
      </c>
      <c r="B16" s="40" t="s">
        <v>68</v>
      </c>
      <c r="C16" s="44"/>
      <c r="D16" s="46">
        <f>'Working '!B156</f>
        <v>191700</v>
      </c>
      <c r="E16" s="43"/>
    </row>
    <row r="17" spans="1:5" x14ac:dyDescent="0.3">
      <c r="B17" s="41"/>
      <c r="C17" s="44"/>
      <c r="D17" s="43">
        <f>SUM(D12:D16)</f>
        <v>243000</v>
      </c>
      <c r="E17" s="43"/>
    </row>
    <row r="18" spans="1:5" ht="18" x14ac:dyDescent="0.35">
      <c r="A18" s="1" t="s">
        <v>66</v>
      </c>
      <c r="B18" s="41"/>
      <c r="C18" s="44"/>
      <c r="D18" s="43"/>
      <c r="E18" s="43"/>
    </row>
    <row r="19" spans="1:5" x14ac:dyDescent="0.3">
      <c r="A19" s="2" t="s">
        <v>67</v>
      </c>
      <c r="B19" s="40" t="s">
        <v>93</v>
      </c>
      <c r="C19" s="44">
        <f>'Working '!I79</f>
        <v>19800</v>
      </c>
      <c r="D19" s="43"/>
      <c r="E19" s="43"/>
    </row>
    <row r="20" spans="1:5" x14ac:dyDescent="0.3">
      <c r="A20" s="2" t="s">
        <v>69</v>
      </c>
      <c r="B20" s="40" t="s">
        <v>99</v>
      </c>
      <c r="C20" s="47">
        <f>'Working '!G48</f>
        <v>600</v>
      </c>
      <c r="D20" s="46">
        <f>C19+C20</f>
        <v>20400</v>
      </c>
      <c r="E20" s="43">
        <f>D17+D20</f>
        <v>263400</v>
      </c>
    </row>
    <row r="21" spans="1:5" ht="18" x14ac:dyDescent="0.35">
      <c r="A21" s="8"/>
      <c r="B21" s="41"/>
      <c r="C21" s="44"/>
      <c r="D21" s="43"/>
      <c r="E21" s="45">
        <f>E9-E20</f>
        <v>200900</v>
      </c>
    </row>
    <row r="22" spans="1:5" ht="18" x14ac:dyDescent="0.35">
      <c r="A22" s="8" t="s">
        <v>70</v>
      </c>
      <c r="B22" s="41"/>
      <c r="C22" s="44"/>
      <c r="D22" s="43"/>
      <c r="E22" s="43"/>
    </row>
    <row r="23" spans="1:5" x14ac:dyDescent="0.3">
      <c r="A23" s="2" t="s">
        <v>259</v>
      </c>
      <c r="B23" s="40" t="s">
        <v>93</v>
      </c>
      <c r="C23" s="44"/>
      <c r="D23" s="43"/>
      <c r="E23" s="43">
        <f>'Working '!L79</f>
        <v>500</v>
      </c>
    </row>
    <row r="24" spans="1:5" x14ac:dyDescent="0.3">
      <c r="A24" s="2" t="s">
        <v>260</v>
      </c>
      <c r="B24" s="40" t="s">
        <v>71</v>
      </c>
      <c r="C24" s="44"/>
      <c r="D24" s="43"/>
      <c r="E24" s="43">
        <f>'Working '!B192</f>
        <v>2000</v>
      </c>
    </row>
    <row r="25" spans="1:5" x14ac:dyDescent="0.3">
      <c r="A25" s="2" t="s">
        <v>261</v>
      </c>
      <c r="B25" s="40" t="s">
        <v>262</v>
      </c>
      <c r="C25" s="44"/>
      <c r="D25" s="43"/>
      <c r="E25" s="43">
        <f>'Working '!F230</f>
        <v>724</v>
      </c>
    </row>
    <row r="26" spans="1:5" x14ac:dyDescent="0.3">
      <c r="A26" s="2" t="s">
        <v>39</v>
      </c>
      <c r="B26" s="40"/>
      <c r="C26" s="44"/>
      <c r="D26" s="43"/>
      <c r="E26" s="46">
        <v>12800</v>
      </c>
    </row>
    <row r="27" spans="1:5" x14ac:dyDescent="0.3">
      <c r="B27" s="40"/>
      <c r="C27" s="44"/>
      <c r="D27" s="43"/>
      <c r="E27" s="43">
        <f>SUM(E21:E26)</f>
        <v>216924</v>
      </c>
    </row>
    <row r="28" spans="1:5" x14ac:dyDescent="0.3">
      <c r="B28" s="40"/>
      <c r="C28" s="44"/>
      <c r="D28" s="43"/>
      <c r="E28" s="43"/>
    </row>
    <row r="29" spans="1:5" ht="18" x14ac:dyDescent="0.35">
      <c r="A29" s="8" t="s">
        <v>72</v>
      </c>
      <c r="B29" s="41"/>
      <c r="C29" s="44"/>
      <c r="D29" s="43"/>
      <c r="E29" s="43"/>
    </row>
    <row r="30" spans="1:5" x14ac:dyDescent="0.3">
      <c r="A30" s="2" t="s">
        <v>73</v>
      </c>
      <c r="B30" s="40" t="s">
        <v>74</v>
      </c>
      <c r="C30" s="44"/>
      <c r="D30" s="43"/>
      <c r="E30" s="43">
        <f>'Working '!A22</f>
        <v>1575</v>
      </c>
    </row>
    <row r="31" spans="1:5" x14ac:dyDescent="0.3">
      <c r="B31" s="41"/>
      <c r="C31" s="44"/>
      <c r="D31" s="43"/>
      <c r="E31" s="45">
        <f>E27+E30</f>
        <v>218499</v>
      </c>
    </row>
    <row r="32" spans="1:5" x14ac:dyDescent="0.3">
      <c r="A32" s="2" t="s">
        <v>75</v>
      </c>
      <c r="B32" s="40" t="s">
        <v>54</v>
      </c>
      <c r="C32" s="44"/>
      <c r="D32" s="43"/>
      <c r="E32" s="43">
        <f>'Working '!D141</f>
        <v>13400</v>
      </c>
    </row>
    <row r="33" spans="1:5" x14ac:dyDescent="0.3">
      <c r="B33" s="41"/>
      <c r="C33" s="44"/>
      <c r="D33" s="43"/>
      <c r="E33" s="45">
        <f>E31-E32</f>
        <v>205099</v>
      </c>
    </row>
    <row r="34" spans="1:5" x14ac:dyDescent="0.3">
      <c r="A34" s="2" t="s">
        <v>77</v>
      </c>
      <c r="B34" s="41"/>
      <c r="C34" s="44"/>
      <c r="D34" s="43">
        <v>25500</v>
      </c>
      <c r="E34" s="43"/>
    </row>
    <row r="35" spans="1:5" x14ac:dyDescent="0.3">
      <c r="A35" s="2" t="s">
        <v>263</v>
      </c>
      <c r="B35" s="41"/>
      <c r="C35" s="44"/>
      <c r="D35" s="43">
        <v>12000</v>
      </c>
      <c r="E35" s="43">
        <f>D34+D35</f>
        <v>37500</v>
      </c>
    </row>
    <row r="36" spans="1:5" x14ac:dyDescent="0.3">
      <c r="A36" s="2" t="s">
        <v>78</v>
      </c>
      <c r="B36" s="41"/>
      <c r="C36" s="44"/>
      <c r="D36" s="43"/>
      <c r="E36" s="48">
        <f>E33-E35</f>
        <v>167599</v>
      </c>
    </row>
    <row r="37" spans="1:5" x14ac:dyDescent="0.3">
      <c r="A37" s="2" t="s">
        <v>79</v>
      </c>
      <c r="B37" s="41"/>
      <c r="C37" s="44"/>
      <c r="D37" s="43"/>
      <c r="E37" s="43">
        <v>33100</v>
      </c>
    </row>
    <row r="38" spans="1:5" ht="17.25" thickBot="1" x14ac:dyDescent="0.35">
      <c r="A38" s="2" t="s">
        <v>80</v>
      </c>
      <c r="B38" s="41"/>
      <c r="C38" s="44"/>
      <c r="D38" s="43"/>
      <c r="E38" s="49">
        <f>E36+E37</f>
        <v>200699</v>
      </c>
    </row>
    <row r="39" spans="1:5" ht="17.25" thickTop="1" x14ac:dyDescent="0.3"/>
  </sheetData>
  <pageMargins left="0.7" right="0.7" top="0.75" bottom="0.75" header="0.3" footer="0.3"/>
  <pageSetup paperSize="9" orientation="portrait" r:id="rId1"/>
  <headerFooter>
    <oddHeader>&amp;L&amp;"Comic Sans MS,Regular"Company Account&amp;R&amp;"Comic Sans MS,Regular"2022 - Aiken Ltd</oddHeader>
    <oddFooter>&amp;R&amp;"Comic Sans MS,Regular"&amp;P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9FBEB-F703-4AC1-815C-EB19C711C9D9}">
  <dimension ref="A1:E40"/>
  <sheetViews>
    <sheetView tabSelected="1" view="pageLayout" topLeftCell="A20" zoomScaleNormal="100" workbookViewId="0">
      <selection activeCell="E20" sqref="E20"/>
    </sheetView>
  </sheetViews>
  <sheetFormatPr defaultRowHeight="16.5" x14ac:dyDescent="0.3"/>
  <cols>
    <col min="1" max="1" width="21" style="2" customWidth="1"/>
    <col min="2" max="2" width="9.85546875" style="2" customWidth="1"/>
    <col min="3" max="3" width="11.140625" style="2" customWidth="1"/>
    <col min="4" max="4" width="11.140625" style="2" bestFit="1" customWidth="1"/>
    <col min="5" max="5" width="11.42578125" style="2" bestFit="1" customWidth="1"/>
    <col min="6" max="16384" width="9.140625" style="2"/>
  </cols>
  <sheetData>
    <row r="1" spans="1:5" ht="18" x14ac:dyDescent="0.35">
      <c r="A1" s="58" t="s">
        <v>265</v>
      </c>
      <c r="B1" s="58"/>
      <c r="C1" s="58"/>
      <c r="D1" s="58"/>
      <c r="E1" s="58"/>
    </row>
    <row r="2" spans="1:5" ht="18" x14ac:dyDescent="0.35">
      <c r="A2" s="8" t="s">
        <v>81</v>
      </c>
      <c r="B2" s="8"/>
      <c r="C2" s="60" t="s">
        <v>1</v>
      </c>
      <c r="D2" s="61" t="s">
        <v>30</v>
      </c>
      <c r="E2" s="60" t="s">
        <v>82</v>
      </c>
    </row>
    <row r="3" spans="1:5" x14ac:dyDescent="0.3">
      <c r="A3" s="2" t="s">
        <v>83</v>
      </c>
      <c r="B3" s="24" t="s">
        <v>264</v>
      </c>
      <c r="C3" s="64">
        <f>'Working '!B123</f>
        <v>950000</v>
      </c>
      <c r="D3" s="44">
        <f>'Working '!H129</f>
        <v>16400</v>
      </c>
      <c r="E3" s="64">
        <f>C3-D3</f>
        <v>933600</v>
      </c>
    </row>
    <row r="4" spans="1:5" x14ac:dyDescent="0.3">
      <c r="A4" s="2" t="s">
        <v>84</v>
      </c>
      <c r="B4" s="24" t="s">
        <v>61</v>
      </c>
      <c r="C4" s="64">
        <f>'Working '!B202</f>
        <v>55000</v>
      </c>
      <c r="D4" s="44">
        <f>'Working '!I204</f>
        <v>21400</v>
      </c>
      <c r="E4" s="64">
        <f>C4-D4</f>
        <v>33600</v>
      </c>
    </row>
    <row r="5" spans="1:5" x14ac:dyDescent="0.3">
      <c r="A5" s="2" t="s">
        <v>29</v>
      </c>
      <c r="B5" s="24" t="s">
        <v>93</v>
      </c>
      <c r="C5" s="64">
        <f>'Working '!B81</f>
        <v>132000</v>
      </c>
      <c r="D5" s="44">
        <f>'Working '!I81</f>
        <v>31300</v>
      </c>
      <c r="E5" s="64">
        <f>C5-D5</f>
        <v>100700</v>
      </c>
    </row>
    <row r="6" spans="1:5" ht="17.25" thickBot="1" x14ac:dyDescent="0.35">
      <c r="C6" s="65">
        <f>SUM(C3:C5)</f>
        <v>1137000</v>
      </c>
      <c r="D6" s="65">
        <f>SUM(D3:D5)</f>
        <v>69100</v>
      </c>
      <c r="E6" s="66">
        <f>SUM(E3:E5)</f>
        <v>1067900</v>
      </c>
    </row>
    <row r="7" spans="1:5" ht="18.75" thickTop="1" x14ac:dyDescent="0.35">
      <c r="A7" s="8" t="s">
        <v>85</v>
      </c>
      <c r="C7" s="64"/>
      <c r="D7" s="44"/>
      <c r="E7" s="64"/>
    </row>
    <row r="8" spans="1:5" x14ac:dyDescent="0.3">
      <c r="A8" s="2" t="s">
        <v>86</v>
      </c>
      <c r="B8" s="24" t="s">
        <v>64</v>
      </c>
      <c r="C8" s="64"/>
      <c r="D8" s="44"/>
      <c r="E8" s="64">
        <f>'Working '!D37</f>
        <v>36000</v>
      </c>
    </row>
    <row r="9" spans="1:5" x14ac:dyDescent="0.3">
      <c r="C9" s="64"/>
      <c r="D9" s="44"/>
      <c r="E9" s="64"/>
    </row>
    <row r="10" spans="1:5" ht="18" x14ac:dyDescent="0.35">
      <c r="A10" s="8" t="s">
        <v>87</v>
      </c>
      <c r="C10" s="64"/>
      <c r="D10" s="44"/>
      <c r="E10" s="64"/>
    </row>
    <row r="11" spans="1:5" x14ac:dyDescent="0.3">
      <c r="A11" s="2" t="s">
        <v>88</v>
      </c>
      <c r="C11" s="64"/>
      <c r="D11" s="44"/>
      <c r="E11" s="67">
        <v>90000</v>
      </c>
    </row>
    <row r="12" spans="1:5" x14ac:dyDescent="0.3">
      <c r="C12" s="64"/>
      <c r="D12" s="44"/>
      <c r="E12" s="64">
        <f>SUM(E6:E11)</f>
        <v>1193900</v>
      </c>
    </row>
    <row r="13" spans="1:5" ht="18" x14ac:dyDescent="0.35">
      <c r="A13" s="8" t="s">
        <v>89</v>
      </c>
      <c r="C13" s="64"/>
      <c r="D13" s="44"/>
      <c r="E13" s="64"/>
    </row>
    <row r="14" spans="1:5" x14ac:dyDescent="0.3">
      <c r="A14" s="2" t="s">
        <v>90</v>
      </c>
      <c r="B14" s="24" t="s">
        <v>56</v>
      </c>
      <c r="C14" s="64"/>
      <c r="D14" s="44">
        <f>'Working '!I10</f>
        <v>110700</v>
      </c>
      <c r="E14" s="64"/>
    </row>
    <row r="15" spans="1:5" x14ac:dyDescent="0.3">
      <c r="A15" s="2" t="s">
        <v>27</v>
      </c>
      <c r="B15" s="24" t="s">
        <v>267</v>
      </c>
      <c r="C15" s="64">
        <f>'Working '!H106</f>
        <v>56900</v>
      </c>
      <c r="D15" s="44"/>
      <c r="E15" s="64"/>
    </row>
    <row r="16" spans="1:5" x14ac:dyDescent="0.3">
      <c r="A16" s="2" t="s">
        <v>94</v>
      </c>
      <c r="B16" s="24" t="s">
        <v>262</v>
      </c>
      <c r="C16" s="67">
        <f>'Working '!B229</f>
        <v>2276</v>
      </c>
      <c r="D16" s="44">
        <f>C15-C16</f>
        <v>54624</v>
      </c>
      <c r="E16" s="64"/>
    </row>
    <row r="17" spans="1:5" x14ac:dyDescent="0.3">
      <c r="A17" s="2" t="s">
        <v>95</v>
      </c>
      <c r="B17" s="24" t="s">
        <v>96</v>
      </c>
      <c r="C17" s="64"/>
      <c r="D17" s="44">
        <f>'Working '!F32</f>
        <v>225</v>
      </c>
      <c r="E17" s="64"/>
    </row>
    <row r="18" spans="1:5" x14ac:dyDescent="0.3">
      <c r="A18" s="2" t="s">
        <v>91</v>
      </c>
      <c r="B18" s="13" t="s">
        <v>99</v>
      </c>
      <c r="C18" s="64"/>
      <c r="D18" s="44">
        <f>'Working '!G49</f>
        <v>4800</v>
      </c>
      <c r="E18" s="64"/>
    </row>
    <row r="19" spans="1:5" x14ac:dyDescent="0.3">
      <c r="A19" s="2" t="s">
        <v>19</v>
      </c>
      <c r="B19" s="13" t="s">
        <v>268</v>
      </c>
      <c r="C19" s="64"/>
      <c r="D19" s="63">
        <f>'Working '!B180</f>
        <v>8400</v>
      </c>
      <c r="E19" s="64"/>
    </row>
    <row r="20" spans="1:5" x14ac:dyDescent="0.3">
      <c r="C20" s="64"/>
      <c r="D20" s="44">
        <f>SUM(D14:D19)</f>
        <v>178749</v>
      </c>
      <c r="E20" s="64"/>
    </row>
    <row r="21" spans="1:5" ht="18" x14ac:dyDescent="0.35">
      <c r="A21" s="8" t="s">
        <v>269</v>
      </c>
      <c r="C21" s="64"/>
      <c r="D21" s="44"/>
      <c r="E21" s="64"/>
    </row>
    <row r="22" spans="1:5" x14ac:dyDescent="0.3">
      <c r="A22" s="2" t="s">
        <v>42</v>
      </c>
      <c r="B22" s="24" t="s">
        <v>101</v>
      </c>
      <c r="C22" s="64">
        <f>'Working '!B74</f>
        <v>57800</v>
      </c>
      <c r="D22" s="44"/>
      <c r="E22" s="64"/>
    </row>
    <row r="23" spans="1:5" x14ac:dyDescent="0.3">
      <c r="A23" s="2" t="s">
        <v>98</v>
      </c>
      <c r="B23" s="24" t="s">
        <v>270</v>
      </c>
      <c r="C23" s="64">
        <f>'Working '!B150</f>
        <v>10400</v>
      </c>
      <c r="D23" s="44"/>
      <c r="E23" s="64"/>
    </row>
    <row r="24" spans="1:5" x14ac:dyDescent="0.3">
      <c r="A24" s="2" t="s">
        <v>34</v>
      </c>
      <c r="B24" s="24" t="s">
        <v>97</v>
      </c>
      <c r="C24" s="64">
        <f>'Working '!H185</f>
        <v>16550</v>
      </c>
      <c r="D24" s="44"/>
      <c r="E24" s="64"/>
    </row>
    <row r="25" spans="1:5" x14ac:dyDescent="0.3">
      <c r="A25" s="2" t="s">
        <v>100</v>
      </c>
      <c r="B25" s="24"/>
      <c r="C25" s="67">
        <v>32200</v>
      </c>
      <c r="D25" s="72">
        <f>SUM(C22:C25)</f>
        <v>116950</v>
      </c>
      <c r="E25" s="64"/>
    </row>
    <row r="26" spans="1:5" x14ac:dyDescent="0.3">
      <c r="A26" s="2" t="s">
        <v>102</v>
      </c>
      <c r="C26" s="64"/>
      <c r="D26" s="44"/>
      <c r="E26" s="64">
        <f>D20-D25</f>
        <v>61799</v>
      </c>
    </row>
    <row r="27" spans="1:5" ht="17.25" thickBot="1" x14ac:dyDescent="0.35">
      <c r="A27" s="2" t="s">
        <v>103</v>
      </c>
      <c r="C27" s="64"/>
      <c r="D27" s="44"/>
      <c r="E27" s="65">
        <f>E12+E26</f>
        <v>1255699</v>
      </c>
    </row>
    <row r="28" spans="1:5" ht="17.25" thickTop="1" x14ac:dyDescent="0.3">
      <c r="C28" s="64"/>
      <c r="D28" s="44"/>
      <c r="E28" s="64"/>
    </row>
    <row r="29" spans="1:5" ht="18" x14ac:dyDescent="0.35">
      <c r="A29" s="8" t="s">
        <v>104</v>
      </c>
      <c r="C29" s="64"/>
      <c r="D29" s="44"/>
      <c r="E29" s="64"/>
    </row>
    <row r="30" spans="1:5" ht="18" x14ac:dyDescent="0.35">
      <c r="A30" s="8" t="s">
        <v>105</v>
      </c>
      <c r="C30" s="64"/>
      <c r="D30" s="44"/>
      <c r="E30" s="64"/>
    </row>
    <row r="31" spans="1:5" x14ac:dyDescent="0.3">
      <c r="A31" s="2" t="s">
        <v>271</v>
      </c>
      <c r="C31" s="64"/>
      <c r="D31" s="44"/>
      <c r="E31" s="64">
        <v>270000</v>
      </c>
    </row>
    <row r="32" spans="1:5" ht="18" x14ac:dyDescent="0.35">
      <c r="A32" s="8" t="s">
        <v>106</v>
      </c>
      <c r="C32" s="68" t="s">
        <v>107</v>
      </c>
      <c r="D32" s="69" t="s">
        <v>108</v>
      </c>
      <c r="E32" s="64"/>
    </row>
    <row r="33" spans="1:5" x14ac:dyDescent="0.3">
      <c r="A33" s="2" t="s">
        <v>109</v>
      </c>
      <c r="C33" s="64">
        <v>600000</v>
      </c>
      <c r="D33" s="44">
        <v>400000</v>
      </c>
      <c r="E33" s="64"/>
    </row>
    <row r="34" spans="1:5" x14ac:dyDescent="0.3">
      <c r="A34" s="2" t="s">
        <v>110</v>
      </c>
      <c r="C34" s="64">
        <v>200000</v>
      </c>
      <c r="D34" s="44">
        <v>100000</v>
      </c>
      <c r="E34" s="64"/>
    </row>
    <row r="35" spans="1:5" ht="17.25" thickBot="1" x14ac:dyDescent="0.35">
      <c r="C35" s="65">
        <f>SUM(C33+C34)</f>
        <v>800000</v>
      </c>
      <c r="D35" s="70">
        <f>SUM(D33+D34)</f>
        <v>500000</v>
      </c>
      <c r="E35" s="64"/>
    </row>
    <row r="36" spans="1:5" ht="17.25" thickTop="1" x14ac:dyDescent="0.3">
      <c r="A36" s="2" t="s">
        <v>272</v>
      </c>
      <c r="B36" s="24" t="s">
        <v>92</v>
      </c>
      <c r="C36" s="64"/>
      <c r="D36" s="73">
        <f>'Working '!F125</f>
        <v>248000</v>
      </c>
      <c r="E36" s="64"/>
    </row>
    <row r="37" spans="1:5" x14ac:dyDescent="0.3">
      <c r="A37" s="2" t="s">
        <v>111</v>
      </c>
      <c r="B37" s="24" t="s">
        <v>273</v>
      </c>
      <c r="C37" s="64"/>
      <c r="D37" s="44">
        <f>'Working '!B220</f>
        <v>37000</v>
      </c>
      <c r="E37" s="64"/>
    </row>
    <row r="38" spans="1:5" x14ac:dyDescent="0.3">
      <c r="A38" s="2" t="s">
        <v>112</v>
      </c>
      <c r="C38" s="64"/>
      <c r="D38" s="63">
        <f>'P &amp; L'!E38</f>
        <v>200699</v>
      </c>
      <c r="E38" s="64">
        <f>SUM(D35:D38)</f>
        <v>985699</v>
      </c>
    </row>
    <row r="39" spans="1:5" ht="17.25" thickBot="1" x14ac:dyDescent="0.35">
      <c r="A39" s="2" t="s">
        <v>113</v>
      </c>
      <c r="C39" s="64"/>
      <c r="D39" s="44"/>
      <c r="E39" s="65">
        <f>E31+E38</f>
        <v>1255699</v>
      </c>
    </row>
    <row r="40" spans="1:5" ht="17.25" thickTop="1" x14ac:dyDescent="0.3">
      <c r="C40" s="62"/>
      <c r="E40" s="62"/>
    </row>
  </sheetData>
  <mergeCells count="1">
    <mergeCell ref="A1:E1"/>
  </mergeCells>
  <pageMargins left="0.7" right="0.7" top="0.75" bottom="0.75" header="0.3" footer="0.3"/>
  <pageSetup paperSize="9" orientation="portrait" r:id="rId1"/>
  <headerFooter>
    <oddHeader>&amp;L&amp;"Comic Sans MS,Regular"Company Account&amp;R&amp;"Comic Sans MS,Regular"2022 - Aiken Ltd</oddHeader>
    <oddFooter>&amp;R&amp;"Comic Sans MS,Regular"&amp;P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Working </vt:lpstr>
      <vt:lpstr>P &amp; L</vt:lpstr>
      <vt:lpstr>Balance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Ryan</dc:creator>
  <cp:keywords/>
  <dc:description/>
  <cp:lastModifiedBy>Jason Ryan</cp:lastModifiedBy>
  <cp:revision/>
  <cp:lastPrinted>2022-10-29T09:12:34Z</cp:lastPrinted>
  <dcterms:created xsi:type="dcterms:W3CDTF">2020-09-30T16:46:46Z</dcterms:created>
  <dcterms:modified xsi:type="dcterms:W3CDTF">2022-10-29T09:34:08Z</dcterms:modified>
  <cp:category/>
  <cp:contentStatus/>
</cp:coreProperties>
</file>